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showInkAnnotation="0" defaultThemeVersion="124226"/>
  <mc:AlternateContent xmlns:mc="http://schemas.openxmlformats.org/markup-compatibility/2006">
    <mc:Choice Requires="x15">
      <x15ac:absPath xmlns:x15ac="http://schemas.microsoft.com/office/spreadsheetml/2010/11/ac" url="\\bis.bashtel.ru\deps\OUZ\01. ОУЗ\2021\Конкурс\08. Август\МСП_Р_Подключения клиентов B2C_B2B_B2G_B2O\Закупочная\"/>
    </mc:Choice>
  </mc:AlternateContent>
  <xr:revisionPtr revIDLastSave="0" documentId="13_ncr:1_{8D95F15A-22A9-44A8-A5F6-EB54E3657D4A}" xr6:coauthVersionLast="36" xr6:coauthVersionMax="36" xr10:uidLastSave="{00000000-0000-0000-0000-000000000000}"/>
  <bookViews>
    <workbookView xWindow="2445" yWindow="0" windowWidth="21810" windowHeight="9645" tabRatio="889" xr2:uid="{00000000-000D-0000-FFFF-FFFF00000000}"/>
  </bookViews>
  <sheets>
    <sheet name="Перечень расценок" sheetId="35" r:id="rId1"/>
    <sheet name="Комментарии к Перечню расценок" sheetId="36" r:id="rId2"/>
  </sheets>
  <definedNames>
    <definedName name="_xlnm._FilterDatabase" localSheetId="1" hidden="1">'Комментарии к Перечню расценок'!$A$6:$E$615</definedName>
    <definedName name="_xlnm._FilterDatabase" localSheetId="0" hidden="1">'Перечень расценок'!$A$8:$I$8</definedName>
    <definedName name="_xlnm.Print_Area" localSheetId="1">'Комментарии к Перечню расценок'!$A$1:$E$641</definedName>
    <definedName name="_xlnm.Print_Area" localSheetId="0">'Перечень расценок'!$A$1:$H$644</definedName>
  </definedNames>
  <calcPr calcId="191029"/>
</workbook>
</file>

<file path=xl/calcChain.xml><?xml version="1.0" encoding="utf-8"?>
<calcChain xmlns="http://schemas.openxmlformats.org/spreadsheetml/2006/main">
  <c r="E619" i="35" l="1"/>
  <c r="E614" i="35"/>
  <c r="E612" i="35"/>
  <c r="E605" i="35"/>
  <c r="E604" i="35"/>
  <c r="E595" i="35"/>
  <c r="E594" i="35"/>
  <c r="E591" i="35"/>
  <c r="E590" i="35"/>
  <c r="E588" i="35"/>
  <c r="E587" i="35"/>
  <c r="E586" i="35"/>
  <c r="E584" i="35"/>
  <c r="E583" i="35"/>
  <c r="E582" i="35"/>
  <c r="E581" i="35"/>
  <c r="E580" i="35"/>
  <c r="E579" i="35"/>
  <c r="E578" i="35"/>
  <c r="E577" i="35"/>
  <c r="E576" i="35"/>
  <c r="E575" i="35"/>
  <c r="E573" i="35"/>
  <c r="E572" i="35"/>
  <c r="E570" i="35"/>
  <c r="E569" i="35"/>
  <c r="E568" i="35"/>
  <c r="E566" i="35"/>
  <c r="E564" i="35"/>
  <c r="E561" i="35"/>
  <c r="E560" i="35"/>
  <c r="E559" i="35"/>
  <c r="E558" i="35"/>
  <c r="E557" i="35"/>
  <c r="E556" i="35"/>
  <c r="E555" i="35"/>
  <c r="E553" i="35"/>
  <c r="E551" i="35"/>
  <c r="E550" i="35"/>
  <c r="E548" i="35"/>
  <c r="E547" i="35"/>
  <c r="E545" i="35"/>
  <c r="E544" i="35"/>
  <c r="E543" i="35"/>
  <c r="G469" i="35"/>
  <c r="E469" i="35"/>
  <c r="G459" i="35"/>
  <c r="E459" i="35"/>
  <c r="E269" i="35" l="1"/>
  <c r="E268" i="35"/>
  <c r="E267" i="35"/>
  <c r="G269" i="35"/>
  <c r="G268" i="35"/>
  <c r="G267" i="35"/>
  <c r="E351" i="35"/>
  <c r="E350" i="35"/>
  <c r="E349" i="35"/>
  <c r="E348" i="35"/>
  <c r="E347" i="35"/>
  <c r="E346" i="35"/>
  <c r="G351" i="35"/>
  <c r="G350" i="35"/>
  <c r="G349" i="35"/>
  <c r="G348" i="35"/>
  <c r="G347" i="35"/>
  <c r="G346" i="35"/>
  <c r="E344" i="35"/>
  <c r="G344" i="35"/>
  <c r="E341" i="35"/>
  <c r="E340" i="35"/>
  <c r="E339" i="35"/>
  <c r="E338" i="35"/>
  <c r="G341" i="35"/>
  <c r="G340" i="35"/>
  <c r="G339" i="35"/>
  <c r="G338" i="35"/>
  <c r="E319" i="35"/>
  <c r="E318" i="35"/>
  <c r="E317" i="35"/>
  <c r="E316" i="35"/>
  <c r="E315" i="35"/>
  <c r="G319" i="35"/>
  <c r="G318" i="35"/>
  <c r="G317" i="35"/>
  <c r="G316" i="35"/>
  <c r="G315" i="35"/>
  <c r="E313" i="35"/>
  <c r="E312" i="35"/>
  <c r="E311" i="35"/>
  <c r="E310" i="35"/>
  <c r="E309" i="35"/>
  <c r="G313" i="35"/>
  <c r="G312" i="35"/>
  <c r="G311" i="35"/>
  <c r="G310" i="35"/>
  <c r="G309" i="35"/>
  <c r="E303" i="35"/>
  <c r="E302" i="35"/>
  <c r="E301" i="35"/>
  <c r="G303" i="35"/>
  <c r="G302" i="35"/>
  <c r="G301" i="35"/>
  <c r="G275" i="35"/>
  <c r="G274" i="35"/>
  <c r="G273" i="35"/>
  <c r="G272" i="35"/>
  <c r="E275" i="35"/>
  <c r="E274" i="35"/>
  <c r="E273" i="35"/>
  <c r="E272" i="35"/>
  <c r="E203" i="35"/>
  <c r="E202" i="35"/>
  <c r="E201" i="35"/>
  <c r="E200" i="35"/>
  <c r="E199" i="35"/>
  <c r="E198" i="35"/>
  <c r="E197" i="35"/>
  <c r="E196" i="35"/>
  <c r="E195" i="35"/>
  <c r="E194" i="35"/>
  <c r="E193" i="35"/>
  <c r="E192" i="35"/>
  <c r="E191" i="35"/>
  <c r="E190" i="35"/>
  <c r="E189" i="35"/>
  <c r="E188" i="35"/>
  <c r="E187" i="35"/>
  <c r="E186" i="35"/>
  <c r="E185" i="35"/>
  <c r="E184" i="35"/>
  <c r="E183" i="35"/>
  <c r="G203" i="35"/>
  <c r="G202" i="35"/>
  <c r="G201" i="35"/>
  <c r="G200" i="35"/>
  <c r="G199" i="35"/>
  <c r="G198" i="35"/>
  <c r="G197" i="35"/>
  <c r="G196" i="35"/>
  <c r="G195" i="35"/>
  <c r="G194" i="35"/>
  <c r="G193" i="35"/>
  <c r="G192" i="35"/>
  <c r="G191" i="35"/>
  <c r="G190" i="35"/>
  <c r="G189" i="35"/>
  <c r="G188" i="35"/>
  <c r="G187" i="35"/>
  <c r="G186" i="35"/>
  <c r="G185" i="35"/>
  <c r="G184" i="35"/>
  <c r="G183" i="35"/>
  <c r="E181" i="35"/>
  <c r="E180" i="35"/>
  <c r="E179" i="35"/>
  <c r="E178" i="35"/>
  <c r="E177" i="35"/>
  <c r="E176" i="35"/>
  <c r="E175" i="35"/>
  <c r="E174" i="35"/>
  <c r="E173" i="35"/>
  <c r="E172" i="35"/>
  <c r="E171" i="35"/>
  <c r="E170" i="35"/>
  <c r="E169" i="35"/>
  <c r="E168" i="35"/>
  <c r="E167" i="35"/>
  <c r="E166" i="35"/>
  <c r="E165" i="35"/>
  <c r="E164" i="35"/>
  <c r="E163" i="35"/>
  <c r="E162" i="35"/>
  <c r="E161" i="35"/>
  <c r="G181" i="35"/>
  <c r="G180" i="35"/>
  <c r="G179" i="35"/>
  <c r="G178" i="35"/>
  <c r="G177" i="35"/>
  <c r="G176" i="35"/>
  <c r="G175" i="35"/>
  <c r="G174" i="35"/>
  <c r="G173" i="35"/>
  <c r="G172" i="35"/>
  <c r="G171" i="35"/>
  <c r="G170" i="35"/>
  <c r="G169" i="35"/>
  <c r="G168" i="35"/>
  <c r="G167" i="35"/>
  <c r="G166" i="35"/>
  <c r="G165" i="35"/>
  <c r="G164" i="35"/>
  <c r="G163" i="35"/>
  <c r="G162" i="35"/>
  <c r="G161" i="35"/>
  <c r="E159" i="35"/>
  <c r="E158" i="35"/>
  <c r="E157" i="35"/>
  <c r="E156" i="35"/>
  <c r="E155" i="35"/>
  <c r="E154" i="35"/>
  <c r="E153" i="35"/>
  <c r="E152" i="35"/>
  <c r="E151" i="35"/>
  <c r="E150" i="35"/>
  <c r="E149" i="35"/>
  <c r="E148" i="35"/>
  <c r="E147" i="35"/>
  <c r="E146" i="35"/>
  <c r="E145" i="35"/>
  <c r="E144" i="35"/>
  <c r="E143" i="35"/>
  <c r="E142" i="35"/>
  <c r="E141" i="35"/>
  <c r="E140" i="35"/>
  <c r="E139" i="35"/>
  <c r="G159" i="35"/>
  <c r="G158" i="35"/>
  <c r="G157" i="35"/>
  <c r="G156" i="35"/>
  <c r="G155" i="35"/>
  <c r="G154" i="35"/>
  <c r="G153" i="35"/>
  <c r="G152" i="35"/>
  <c r="G151" i="35"/>
  <c r="G150" i="35"/>
  <c r="G149" i="35"/>
  <c r="G148" i="35"/>
  <c r="G147" i="35"/>
  <c r="G146" i="35"/>
  <c r="G145" i="35"/>
  <c r="G144" i="35"/>
  <c r="G143" i="35"/>
  <c r="G142" i="35"/>
  <c r="G141" i="35"/>
  <c r="G140" i="35"/>
  <c r="G139" i="35"/>
  <c r="E124" i="35"/>
  <c r="E123" i="35"/>
  <c r="E122" i="35"/>
  <c r="E121" i="35"/>
  <c r="E120" i="35"/>
  <c r="E119" i="35"/>
  <c r="E118" i="35"/>
  <c r="G124" i="35"/>
  <c r="G123" i="35"/>
  <c r="G122" i="35"/>
  <c r="G121" i="35"/>
  <c r="G120" i="35"/>
  <c r="G119" i="35"/>
  <c r="G118" i="35"/>
  <c r="E116" i="35"/>
  <c r="E115" i="35"/>
  <c r="E114" i="35"/>
  <c r="E113" i="35"/>
  <c r="E112" i="35"/>
  <c r="E111" i="35"/>
  <c r="E110" i="35"/>
  <c r="G116" i="35"/>
  <c r="G115" i="35"/>
  <c r="G114" i="35"/>
  <c r="G113" i="35"/>
  <c r="G112" i="35"/>
  <c r="G111" i="35"/>
  <c r="G110" i="35"/>
  <c r="G108" i="35"/>
  <c r="G107" i="35"/>
  <c r="G106" i="35"/>
  <c r="G105" i="35"/>
  <c r="G104" i="35"/>
  <c r="G103" i="35"/>
  <c r="G102" i="35"/>
  <c r="E108" i="35"/>
  <c r="E107" i="35"/>
  <c r="E106" i="35"/>
  <c r="E105" i="35"/>
  <c r="E104" i="35"/>
  <c r="E103" i="35"/>
  <c r="E102" i="35"/>
  <c r="E91" i="35"/>
  <c r="G91" i="35"/>
  <c r="G52" i="35"/>
  <c r="G51" i="35"/>
  <c r="G50" i="35"/>
  <c r="G49" i="35"/>
  <c r="G48" i="35"/>
  <c r="E52" i="35"/>
  <c r="E51" i="35"/>
  <c r="E50" i="35"/>
  <c r="E49" i="35"/>
  <c r="E48" i="35"/>
  <c r="G46" i="35"/>
  <c r="G45" i="35"/>
  <c r="G44" i="35"/>
  <c r="G43" i="35"/>
  <c r="G42" i="35"/>
  <c r="E46" i="35"/>
  <c r="E45" i="35"/>
  <c r="E44" i="35"/>
  <c r="E43" i="35"/>
  <c r="E42" i="35"/>
  <c r="G40" i="35"/>
  <c r="G39" i="35"/>
  <c r="G38" i="35"/>
  <c r="G37" i="35"/>
  <c r="G36" i="35"/>
  <c r="E40" i="35"/>
  <c r="E39" i="35"/>
  <c r="E38" i="35"/>
  <c r="E37" i="35"/>
  <c r="E36" i="35"/>
  <c r="E320" i="35" l="1"/>
  <c r="G320" i="35"/>
  <c r="E321" i="35"/>
  <c r="G321" i="35"/>
  <c r="E322" i="35"/>
  <c r="G322" i="35"/>
  <c r="E323" i="35"/>
  <c r="G323" i="35"/>
  <c r="E324" i="35"/>
  <c r="G324" i="35"/>
  <c r="G609" i="35" l="1"/>
  <c r="G530" i="35"/>
  <c r="E618" i="35"/>
  <c r="E617" i="35"/>
  <c r="E616" i="35"/>
  <c r="E615" i="35"/>
  <c r="E613" i="35"/>
  <c r="E609" i="35"/>
  <c r="E608" i="35"/>
  <c r="E607" i="35"/>
  <c r="E606" i="35"/>
  <c r="E603" i="35"/>
  <c r="E602" i="35"/>
  <c r="E601" i="35"/>
  <c r="E599" i="35"/>
  <c r="E598" i="35"/>
  <c r="E596" i="35"/>
  <c r="E593" i="35"/>
  <c r="E592" i="35"/>
  <c r="E585" i="35"/>
  <c r="E571" i="35"/>
  <c r="E565" i="35"/>
  <c r="E563" i="35"/>
  <c r="E562" i="35"/>
  <c r="E554" i="35"/>
  <c r="E549" i="35"/>
  <c r="E546" i="35"/>
  <c r="G541" i="35"/>
  <c r="G540" i="35"/>
  <c r="E541" i="35"/>
  <c r="E540" i="35"/>
  <c r="E537" i="35"/>
  <c r="E536" i="35"/>
  <c r="E535" i="35"/>
  <c r="E534" i="35"/>
  <c r="G529" i="35"/>
  <c r="G528" i="35"/>
  <c r="G527" i="35"/>
  <c r="G526" i="35"/>
  <c r="E530" i="35"/>
  <c r="E529" i="35"/>
  <c r="E528" i="35"/>
  <c r="E527" i="35"/>
  <c r="E526" i="35"/>
  <c r="G523" i="35"/>
  <c r="G522" i="35"/>
  <c r="G521" i="35"/>
  <c r="E523" i="35"/>
  <c r="E522" i="35"/>
  <c r="E521" i="35"/>
  <c r="E518" i="35"/>
  <c r="E517" i="35"/>
  <c r="E515" i="35"/>
  <c r="E514" i="35"/>
  <c r="E513" i="35"/>
  <c r="E512" i="35"/>
  <c r="E511" i="35"/>
  <c r="G508" i="35"/>
  <c r="G507" i="35"/>
  <c r="G506" i="35"/>
  <c r="G505" i="35"/>
  <c r="G504" i="35"/>
  <c r="G503" i="35"/>
  <c r="G502" i="35"/>
  <c r="G501" i="35"/>
  <c r="E508" i="35"/>
  <c r="E507" i="35"/>
  <c r="E506" i="35"/>
  <c r="E505" i="35"/>
  <c r="E504" i="35"/>
  <c r="E503" i="35"/>
  <c r="E502" i="35"/>
  <c r="E501" i="35"/>
  <c r="G492" i="35"/>
  <c r="G491" i="35"/>
  <c r="G490" i="35"/>
  <c r="G489" i="35"/>
  <c r="G488" i="35"/>
  <c r="G487" i="35"/>
  <c r="G486" i="35"/>
  <c r="G485" i="35"/>
  <c r="G484" i="35"/>
  <c r="G483" i="35"/>
  <c r="G482" i="35"/>
  <c r="G481" i="35"/>
  <c r="G480" i="35"/>
  <c r="G478" i="35"/>
  <c r="G477" i="35"/>
  <c r="G475" i="35"/>
  <c r="G474" i="35"/>
  <c r="G473" i="35"/>
  <c r="G470" i="35"/>
  <c r="E492" i="35"/>
  <c r="E491" i="35"/>
  <c r="E490" i="35"/>
  <c r="E489" i="35"/>
  <c r="E488" i="35"/>
  <c r="E487" i="35"/>
  <c r="E486" i="35"/>
  <c r="E485" i="35"/>
  <c r="E484" i="35"/>
  <c r="E483" i="35"/>
  <c r="E482" i="35"/>
  <c r="E481" i="35"/>
  <c r="E480" i="35"/>
  <c r="E479" i="35"/>
  <c r="E478" i="35"/>
  <c r="E477" i="35"/>
  <c r="E476" i="35"/>
  <c r="E475" i="35"/>
  <c r="E474" i="35"/>
  <c r="E473" i="35"/>
  <c r="E470" i="35"/>
  <c r="E468" i="35"/>
  <c r="E467" i="35"/>
  <c r="E466" i="35"/>
  <c r="E465" i="35"/>
  <c r="E464" i="35"/>
  <c r="E463" i="35"/>
  <c r="E462" i="35"/>
  <c r="E461" i="35"/>
  <c r="E460" i="35"/>
  <c r="E458" i="35"/>
  <c r="E457" i="35"/>
  <c r="E456" i="35"/>
  <c r="E455" i="35"/>
  <c r="E454" i="35"/>
  <c r="E453" i="35"/>
  <c r="E452" i="35"/>
  <c r="E451" i="35"/>
  <c r="E450" i="35"/>
  <c r="E449" i="35"/>
  <c r="E448" i="35"/>
  <c r="E447" i="35"/>
  <c r="E446" i="35"/>
  <c r="E445" i="35"/>
  <c r="E444" i="35"/>
  <c r="E443" i="35"/>
  <c r="E442" i="35"/>
  <c r="E441" i="35"/>
  <c r="E440" i="35"/>
  <c r="G467" i="35"/>
  <c r="G458" i="35"/>
  <c r="G457" i="35"/>
  <c r="G456" i="35"/>
  <c r="G455" i="35"/>
  <c r="G454" i="35"/>
  <c r="G453" i="35"/>
  <c r="G450" i="35"/>
  <c r="G449" i="35"/>
  <c r="G448" i="35"/>
  <c r="G447" i="35"/>
  <c r="G446" i="35"/>
  <c r="G445" i="35"/>
  <c r="G444" i="35"/>
  <c r="G443" i="35"/>
  <c r="G442" i="35"/>
  <c r="G441" i="35"/>
  <c r="G440" i="35"/>
  <c r="G438" i="35"/>
  <c r="G437" i="35"/>
  <c r="G436" i="35"/>
  <c r="G435" i="35"/>
  <c r="G434" i="35"/>
  <c r="G432" i="35"/>
  <c r="G431" i="35"/>
  <c r="G430" i="35"/>
  <c r="G429" i="35"/>
  <c r="G427" i="35"/>
  <c r="G425" i="35"/>
  <c r="G424" i="35"/>
  <c r="G423" i="35"/>
  <c r="G419" i="35"/>
  <c r="G418" i="35"/>
  <c r="G417" i="35"/>
  <c r="G416" i="35"/>
  <c r="G415" i="35"/>
  <c r="G414" i="35"/>
  <c r="G413" i="35"/>
  <c r="G412" i="35"/>
  <c r="E438" i="35"/>
  <c r="E437" i="35"/>
  <c r="E436" i="35"/>
  <c r="E435" i="35"/>
  <c r="E434" i="35"/>
  <c r="E433" i="35"/>
  <c r="E432" i="35"/>
  <c r="E431" i="35"/>
  <c r="E430" i="35"/>
  <c r="E429" i="35"/>
  <c r="E428" i="35"/>
  <c r="E427" i="35"/>
  <c r="E425" i="35"/>
  <c r="E424" i="35"/>
  <c r="E423" i="35"/>
  <c r="E422" i="35"/>
  <c r="E421" i="35"/>
  <c r="E420" i="35"/>
  <c r="E419" i="35"/>
  <c r="E418" i="35"/>
  <c r="E417" i="35"/>
  <c r="E416" i="35"/>
  <c r="E415" i="35"/>
  <c r="E414" i="35"/>
  <c r="E413" i="35"/>
  <c r="E412" i="35"/>
  <c r="E411" i="35"/>
  <c r="E410" i="35"/>
  <c r="E409" i="35"/>
  <c r="G404" i="35"/>
  <c r="G403" i="35"/>
  <c r="G401" i="35"/>
  <c r="G400" i="35"/>
  <c r="G399" i="35"/>
  <c r="G398" i="35"/>
  <c r="G397" i="35"/>
  <c r="G396" i="35"/>
  <c r="G395" i="35"/>
  <c r="E407" i="35"/>
  <c r="E406" i="35"/>
  <c r="E405" i="35"/>
  <c r="E404" i="35"/>
  <c r="E403" i="35"/>
  <c r="E401" i="35"/>
  <c r="E400" i="35"/>
  <c r="E399" i="35"/>
  <c r="E398" i="35"/>
  <c r="E397" i="35"/>
  <c r="E396" i="35"/>
  <c r="E395" i="35"/>
  <c r="E394" i="35"/>
  <c r="G391" i="35"/>
  <c r="G390" i="35"/>
  <c r="G389" i="35"/>
  <c r="G388" i="35"/>
  <c r="G387" i="35"/>
  <c r="G386" i="35"/>
  <c r="G385" i="35"/>
  <c r="G384" i="35"/>
  <c r="G383" i="35"/>
  <c r="G382" i="35"/>
  <c r="G381" i="35"/>
  <c r="G380" i="35"/>
  <c r="G379" i="35"/>
  <c r="G378" i="35"/>
  <c r="G377" i="35"/>
  <c r="G376" i="35"/>
  <c r="G375" i="35"/>
  <c r="G374" i="35"/>
  <c r="G373" i="35"/>
  <c r="G372" i="35"/>
  <c r="G371" i="35"/>
  <c r="G370" i="35"/>
  <c r="G369" i="35"/>
  <c r="G368" i="35"/>
  <c r="G367" i="35"/>
  <c r="G366" i="35"/>
  <c r="E391" i="35"/>
  <c r="E390" i="35"/>
  <c r="E389" i="35"/>
  <c r="E388" i="35"/>
  <c r="E387" i="35"/>
  <c r="E386" i="35"/>
  <c r="E385" i="35"/>
  <c r="E384" i="35"/>
  <c r="E383" i="35"/>
  <c r="E382" i="35"/>
  <c r="E381" i="35"/>
  <c r="E380" i="35"/>
  <c r="E379" i="35"/>
  <c r="E378" i="35"/>
  <c r="E377" i="35"/>
  <c r="E376" i="35"/>
  <c r="E375" i="35"/>
  <c r="E374" i="35"/>
  <c r="E373" i="35"/>
  <c r="E372" i="35"/>
  <c r="E371" i="35"/>
  <c r="E370" i="35"/>
  <c r="E369" i="35"/>
  <c r="E368" i="35"/>
  <c r="E367" i="35"/>
  <c r="E366" i="35"/>
  <c r="G364" i="35"/>
  <c r="G363" i="35"/>
  <c r="G362" i="35"/>
  <c r="G361" i="35"/>
  <c r="G360" i="35"/>
  <c r="G359" i="35"/>
  <c r="G358" i="35"/>
  <c r="G357" i="35"/>
  <c r="G353" i="35"/>
  <c r="G352" i="35"/>
  <c r="E364" i="35"/>
  <c r="E363" i="35"/>
  <c r="E362" i="35"/>
  <c r="E361" i="35"/>
  <c r="E360" i="35"/>
  <c r="E359" i="35"/>
  <c r="E358" i="35"/>
  <c r="E357" i="35"/>
  <c r="E355" i="35"/>
  <c r="E354" i="35"/>
  <c r="E353" i="35"/>
  <c r="E352" i="35"/>
  <c r="G342" i="35"/>
  <c r="E343" i="35"/>
  <c r="E342" i="35"/>
  <c r="G335" i="35"/>
  <c r="G333" i="35"/>
  <c r="G332" i="35"/>
  <c r="G331" i="35"/>
  <c r="G330" i="35"/>
  <c r="G329" i="35"/>
  <c r="G328" i="35"/>
  <c r="G327" i="35"/>
  <c r="G326" i="35"/>
  <c r="G325" i="35"/>
  <c r="E335" i="35"/>
  <c r="E334" i="35"/>
  <c r="E333" i="35"/>
  <c r="E332" i="35"/>
  <c r="E331" i="35"/>
  <c r="E330" i="35"/>
  <c r="E329" i="35"/>
  <c r="E328" i="35"/>
  <c r="E327" i="35"/>
  <c r="E326" i="35"/>
  <c r="E325" i="35"/>
  <c r="G306" i="35"/>
  <c r="G305" i="35"/>
  <c r="G304" i="35"/>
  <c r="E307" i="35"/>
  <c r="E306" i="35"/>
  <c r="E305" i="35"/>
  <c r="E304" i="35"/>
  <c r="G290" i="35"/>
  <c r="G289" i="35"/>
  <c r="G288" i="35"/>
  <c r="G287" i="35"/>
  <c r="G286" i="35"/>
  <c r="G285" i="35"/>
  <c r="G284" i="35"/>
  <c r="G283" i="35"/>
  <c r="G281" i="35"/>
  <c r="G280" i="35"/>
  <c r="G279" i="35"/>
  <c r="G278" i="35"/>
  <c r="G277" i="35"/>
  <c r="G276" i="35"/>
  <c r="E290" i="35"/>
  <c r="E289" i="35"/>
  <c r="E288" i="35"/>
  <c r="E287" i="35"/>
  <c r="E286" i="35"/>
  <c r="E285" i="35"/>
  <c r="E284" i="35"/>
  <c r="E283" i="35"/>
  <c r="E281" i="35"/>
  <c r="E280" i="35"/>
  <c r="E279" i="35"/>
  <c r="E278" i="35"/>
  <c r="E277" i="35"/>
  <c r="E276" i="35"/>
  <c r="G270" i="35"/>
  <c r="G266" i="35"/>
  <c r="G265" i="35"/>
  <c r="G264" i="35"/>
  <c r="G263" i="35"/>
  <c r="G262" i="35"/>
  <c r="G261" i="35"/>
  <c r="G260" i="35"/>
  <c r="G259" i="35"/>
  <c r="G258" i="35"/>
  <c r="G257" i="35"/>
  <c r="G256" i="35"/>
  <c r="E270" i="35"/>
  <c r="E266" i="35"/>
  <c r="E265" i="35"/>
  <c r="E264" i="35"/>
  <c r="E263" i="35"/>
  <c r="E262" i="35"/>
  <c r="E261" i="35"/>
  <c r="E260" i="35"/>
  <c r="E259" i="35"/>
  <c r="E258" i="35"/>
  <c r="E257" i="35"/>
  <c r="E256" i="35"/>
  <c r="G254" i="35"/>
  <c r="G253" i="35"/>
  <c r="G251" i="35"/>
  <c r="G250" i="35"/>
  <c r="E254" i="35"/>
  <c r="E253" i="35"/>
  <c r="E251" i="35"/>
  <c r="E250" i="35"/>
  <c r="G248" i="35"/>
  <c r="G247" i="35"/>
  <c r="G246" i="35"/>
  <c r="G245" i="35"/>
  <c r="G244" i="35"/>
  <c r="E248" i="35"/>
  <c r="E247" i="35"/>
  <c r="E246" i="35"/>
  <c r="E245" i="35"/>
  <c r="E244" i="35"/>
  <c r="G232" i="35"/>
  <c r="G231" i="35"/>
  <c r="G230" i="35"/>
  <c r="G228" i="35"/>
  <c r="G227" i="35"/>
  <c r="G226" i="35"/>
  <c r="G224" i="35"/>
  <c r="G223" i="35"/>
  <c r="G222" i="35"/>
  <c r="G220" i="35"/>
  <c r="G219" i="35"/>
  <c r="E232" i="35"/>
  <c r="E231" i="35"/>
  <c r="E230" i="35"/>
  <c r="E228" i="35"/>
  <c r="E227" i="35"/>
  <c r="E226" i="35"/>
  <c r="E224" i="35"/>
  <c r="E223" i="35"/>
  <c r="E222" i="35"/>
  <c r="E220" i="35"/>
  <c r="E219" i="35"/>
  <c r="G214" i="35"/>
  <c r="G213" i="35"/>
  <c r="G212" i="35"/>
  <c r="G211" i="35"/>
  <c r="G210" i="35"/>
  <c r="G209" i="35"/>
  <c r="G208" i="35"/>
  <c r="G207" i="35"/>
  <c r="G206" i="35"/>
  <c r="G205" i="35"/>
  <c r="E217" i="35"/>
  <c r="E216" i="35"/>
  <c r="E215" i="35"/>
  <c r="E214" i="35"/>
  <c r="E213" i="35"/>
  <c r="E212" i="35"/>
  <c r="E211" i="35"/>
  <c r="E210" i="35"/>
  <c r="E209" i="35"/>
  <c r="E208" i="35"/>
  <c r="E207" i="35"/>
  <c r="E206" i="35"/>
  <c r="E205" i="35"/>
  <c r="G137" i="35"/>
  <c r="G136" i="35"/>
  <c r="G135" i="35"/>
  <c r="G134" i="35"/>
  <c r="G133" i="35"/>
  <c r="E137" i="35"/>
  <c r="E136" i="35"/>
  <c r="E135" i="35"/>
  <c r="E134" i="35"/>
  <c r="E133" i="35"/>
  <c r="G131" i="35"/>
  <c r="G130" i="35"/>
  <c r="G129" i="35"/>
  <c r="G128" i="35"/>
  <c r="G127" i="35"/>
  <c r="G126" i="35"/>
  <c r="E131" i="35"/>
  <c r="E130" i="35"/>
  <c r="E129" i="35"/>
  <c r="E128" i="35"/>
  <c r="E127" i="35"/>
  <c r="E126" i="35"/>
  <c r="G98" i="35"/>
  <c r="G90" i="35"/>
  <c r="E98" i="35"/>
  <c r="E97" i="35"/>
  <c r="E96" i="35"/>
  <c r="E95" i="35"/>
  <c r="E94" i="35"/>
  <c r="E90" i="35"/>
  <c r="E80" i="35"/>
  <c r="E79" i="35"/>
  <c r="E78" i="35"/>
  <c r="E77" i="35"/>
  <c r="E76" i="35"/>
  <c r="E75" i="35"/>
  <c r="E74" i="35"/>
  <c r="E73" i="35"/>
  <c r="E72" i="35"/>
  <c r="E70" i="35"/>
  <c r="E69" i="35"/>
  <c r="E68" i="35"/>
  <c r="E67" i="35"/>
  <c r="E66" i="35"/>
  <c r="E65" i="35"/>
  <c r="E64" i="35"/>
  <c r="E63" i="35"/>
  <c r="E61" i="35"/>
  <c r="E60" i="35"/>
  <c r="E59" i="35"/>
  <c r="E58" i="35"/>
  <c r="E57" i="35"/>
  <c r="E56" i="35"/>
  <c r="E55" i="35"/>
  <c r="E54" i="35"/>
  <c r="G25" i="35"/>
  <c r="G24" i="35"/>
  <c r="G23" i="35"/>
  <c r="E25" i="35"/>
  <c r="E24" i="35"/>
  <c r="E23" i="35"/>
  <c r="G20" i="35"/>
  <c r="G19" i="35"/>
  <c r="E20" i="35"/>
  <c r="E19" i="35"/>
  <c r="G16" i="35"/>
  <c r="E16" i="35"/>
  <c r="G14" i="35"/>
  <c r="G13" i="35"/>
  <c r="G12" i="35"/>
  <c r="E14" i="35"/>
  <c r="E13" i="35"/>
  <c r="E12" i="35"/>
  <c r="F6" i="35" l="1"/>
  <c r="E6" i="35"/>
  <c r="G6" i="35"/>
</calcChain>
</file>

<file path=xl/sharedStrings.xml><?xml version="1.0" encoding="utf-8"?>
<sst xmlns="http://schemas.openxmlformats.org/spreadsheetml/2006/main" count="4838" uniqueCount="1823">
  <si>
    <t>Единица измерения</t>
  </si>
  <si>
    <t>шт.</t>
  </si>
  <si>
    <t>1 км трассы</t>
  </si>
  <si>
    <t>1 опора</t>
  </si>
  <si>
    <t>Комплект (1 контейнер)</t>
  </si>
  <si>
    <t>1 шкаф</t>
  </si>
  <si>
    <t>Состав работ</t>
  </si>
  <si>
    <t>комплекс работ</t>
  </si>
  <si>
    <t>Установка, монтаж, ПНР VSAT</t>
  </si>
  <si>
    <t>1.1</t>
  </si>
  <si>
    <t>2.1</t>
  </si>
  <si>
    <t>2.2</t>
  </si>
  <si>
    <t>2.3</t>
  </si>
  <si>
    <t>3.1</t>
  </si>
  <si>
    <t>3.2</t>
  </si>
  <si>
    <t>3.3</t>
  </si>
  <si>
    <t>кан-км</t>
  </si>
  <si>
    <t>4.2</t>
  </si>
  <si>
    <t>4.3</t>
  </si>
  <si>
    <t>Экспертиза опор по требованию владельца инфраструктуры</t>
  </si>
  <si>
    <t>до 12U включительно</t>
  </si>
  <si>
    <t>до 24U включительно</t>
  </si>
  <si>
    <t>до 48U включительно</t>
  </si>
  <si>
    <t>Комплекс работ по подключению оборудования к электропитанию постоянным/переменным током.</t>
  </si>
  <si>
    <t>4.4</t>
  </si>
  <si>
    <t>3.4</t>
  </si>
  <si>
    <t>3.5</t>
  </si>
  <si>
    <t>3.6</t>
  </si>
  <si>
    <t>4.4.1</t>
  </si>
  <si>
    <t>4.4.2</t>
  </si>
  <si>
    <t>4.5</t>
  </si>
  <si>
    <t>4.6</t>
  </si>
  <si>
    <t>4.7</t>
  </si>
  <si>
    <t>4.8</t>
  </si>
  <si>
    <t>4.8.1</t>
  </si>
  <si>
    <t>4.8.2</t>
  </si>
  <si>
    <t>4.8.3</t>
  </si>
  <si>
    <t>4.9</t>
  </si>
  <si>
    <t>4.10</t>
  </si>
  <si>
    <t>4.11</t>
  </si>
  <si>
    <t>4.13</t>
  </si>
  <si>
    <t>точка доступа</t>
  </si>
  <si>
    <t>1 шт.</t>
  </si>
  <si>
    <t>за один комплект</t>
  </si>
  <si>
    <t xml:space="preserve">Разработка основного комплекта рабочих чертежей марки РРС
</t>
  </si>
  <si>
    <t>Монтаж и ПНР станционной части радиооборудования БС БШПД</t>
  </si>
  <si>
    <t>за пролет</t>
  </si>
  <si>
    <t>Разработка проектной документации  по подвесу кабеля по опорам ЛЭП ВЛ 1-35кВ, включая проверку и экспертизу опор</t>
  </si>
  <si>
    <t>1 волокно</t>
  </si>
  <si>
    <t>1 патчкорд</t>
  </si>
  <si>
    <t xml:space="preserve">СМР, ПИР, в том числе и не ограничиваясь перечисленным: установка и крепление кросса (включая стоимость кросса), разделка оптического кабеля, сварка волокон, тестирование рефлектометром. Оформление разрешительных документов и исполнительной документации. </t>
  </si>
  <si>
    <t>1 оптический кросс</t>
  </si>
  <si>
    <t>Перебивка колодцев кабельной канализации при докладке дополнительных каналов в существующей канализации</t>
  </si>
  <si>
    <t>Демонтаж опор</t>
  </si>
  <si>
    <t>комплекс</t>
  </si>
  <si>
    <t>ед. оборудования</t>
  </si>
  <si>
    <t>Установка блока из трех розеток (220В и типа RJ)</t>
  </si>
  <si>
    <t>1 комплект</t>
  </si>
  <si>
    <t>перекрытие</t>
  </si>
  <si>
    <t>1 м</t>
  </si>
  <si>
    <t xml:space="preserve">Монтаж  коробки радиотрансляционной РОН </t>
  </si>
  <si>
    <t>СМР, ПИР, прочие затраты, не ограничиваясь перечисленным: Монтаж   коробки радиотрансляционной РОН ,  с учетом материалов, в том числе РОН.</t>
  </si>
  <si>
    <t xml:space="preserve">Устройство ограждения контейнера </t>
  </si>
  <si>
    <t>ПИР, СМР (включая стоимость материалов, сопутствующих работ, изготовление, доставку , монтаж, установку ограждения контейнера). Оформление исполнительной документации.</t>
  </si>
  <si>
    <t>Демонтаж оборудования</t>
  </si>
  <si>
    <t>пара</t>
  </si>
  <si>
    <t>Примечание</t>
  </si>
  <si>
    <t>ПИР, СМР. С учетом стоимости  материалов. Включает прокладку силового кабеля и кабеля заземления, не включает подключения и измерения.</t>
  </si>
  <si>
    <t>Удельная стоимость за единицу (базовое значение) без НДС, руб.</t>
  </si>
  <si>
    <t>Наименование  работ</t>
  </si>
  <si>
    <t>-</t>
  </si>
  <si>
    <t>1 км кабеля</t>
  </si>
  <si>
    <t>1 км трассы кабеля</t>
  </si>
  <si>
    <t>№ п/п</t>
  </si>
  <si>
    <t>5.1</t>
  </si>
  <si>
    <t>5.2</t>
  </si>
  <si>
    <t>5.3</t>
  </si>
  <si>
    <t>Проведение предпроектных изысканий</t>
  </si>
  <si>
    <t>5.4</t>
  </si>
  <si>
    <t>5.5</t>
  </si>
  <si>
    <t>5.6</t>
  </si>
  <si>
    <t>5.7</t>
  </si>
  <si>
    <t>5.8</t>
  </si>
  <si>
    <t>5.9</t>
  </si>
  <si>
    <t>5.10</t>
  </si>
  <si>
    <t>5.11</t>
  </si>
  <si>
    <t>5.12</t>
  </si>
  <si>
    <t>5.13</t>
  </si>
  <si>
    <t>5.14</t>
  </si>
  <si>
    <t>5.15</t>
  </si>
  <si>
    <t>50% от стоимости монтажа</t>
  </si>
  <si>
    <t>ПИР, СМР. Применяется при необходимости монтажа ЩРЗ, ЩГ и ЩК с автоматами. С учетом стоимости оборудования и материалов.  Включает установку автоматов, прокладку силового кабеля длиной 20 м и кабеля заземления, установку ЩРЗ, подключение, измерения, стоимость оборудования ЩРЗ, ЩГ и ЩК с автоматами и прочих материалов для подключения.</t>
  </si>
  <si>
    <t>ПИР, СМР (включая стоимость патч-панели, сопутствующих работ). Установка, монтаж и расшивка патч-панели 24 порта.</t>
  </si>
  <si>
    <t>м2</t>
  </si>
  <si>
    <t>м</t>
  </si>
  <si>
    <t>ВОК ёмкостью  до 8 волокон включительно</t>
  </si>
  <si>
    <t>СМР, включая (но не ограничиваясь) стоимость оконечных кабельных устройств, кроссировочного провода  и материалов, органайзеров (при необходимости),  установку боксов в распределительных шкафах. Проведение  всех измерений. Оформление исполнительной документации.</t>
  </si>
  <si>
    <t>3.4.1</t>
  </si>
  <si>
    <t>3.4.2</t>
  </si>
  <si>
    <t>ВОК ёмкостью более  8 до 16 волокон включительно</t>
  </si>
  <si>
    <t>ВОК ёмкостью более 32 до 48 волокон включительно</t>
  </si>
  <si>
    <t>для ж/б опор</t>
  </si>
  <si>
    <t xml:space="preserve">ПИР, СМР, включая: стоимость колодца ККС-4, люка, ж/б опорных колец, разработка грунта, гидроизоляция; вспомогательные материалы,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 </t>
  </si>
  <si>
    <t xml:space="preserve">ПИР, СМР, включая: стоимость колодца ККС-5, люка, ж/б опорных колец, разработка грунта, гидроизоляция; вспомогательные материалы,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 </t>
  </si>
  <si>
    <t>ПИР, СМР, включая: разработка грунта; стоимость колодца ККТМ-1  и других необходимых материалов,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t>
  </si>
  <si>
    <t>Выполнение кроссировочных работ</t>
  </si>
  <si>
    <t>СМР, включая (но не ограничиваясь)  кроссировочного провода  и материалов. Проведение  всех измерений. Оформление исполнительной документации.</t>
  </si>
  <si>
    <t>Расшивка кабеля с медными жилами на кроссе.</t>
  </si>
  <si>
    <t xml:space="preserve">Монтаж оптического кросса  (ШКОН, ШКОС) </t>
  </si>
  <si>
    <t>ёмкостью до 8 портов включительно</t>
  </si>
  <si>
    <t>ёмкостью более 8 до 16 портов включительно</t>
  </si>
  <si>
    <t>ёмкостью более 32 до 48 портов включительно</t>
  </si>
  <si>
    <t>ёмкостью более 48 до 96 портов включительно</t>
  </si>
  <si>
    <t>ёмкостью более 16 до 24 портов включительно</t>
  </si>
  <si>
    <t>ёмкостью более 24 до 32 портов включительно</t>
  </si>
  <si>
    <t>3.5.1</t>
  </si>
  <si>
    <t>3.5.2</t>
  </si>
  <si>
    <t>в грунтах групп 4-6</t>
  </si>
  <si>
    <t>в грунтах групп 1-3</t>
  </si>
  <si>
    <t>Примечания:</t>
  </si>
  <si>
    <t>3.6.1</t>
  </si>
  <si>
    <t>3.6.2</t>
  </si>
  <si>
    <t>3.6.3</t>
  </si>
  <si>
    <t xml:space="preserve">ПИР, СМР, включая: демонтаж ранее установленного колодца и его утилизация; стоимость нового колодца, люка, ж/б опорных колец, разработка грунта, гидроизоляция; вспомогательные материалы,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 </t>
  </si>
  <si>
    <t>в том числе стоимость ПИР</t>
  </si>
  <si>
    <t>ВОК ёмкостью 144 волокна</t>
  </si>
  <si>
    <t xml:space="preserve">ПИР, СМР, включая: стоимость колодца ККС-2, люка, ж/б опорных колец, разработка грунта, гидроизоляция; вспомогательные материалы,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 </t>
  </si>
  <si>
    <t xml:space="preserve">ПИР, СМР, включая: стоимость колодца ККС-3, люка, ж/б опорных колец, разработка грунта, гидроизоляция; вспомогательные материалы,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 </t>
  </si>
  <si>
    <t>Восстановление асфальтобетонных покрытий проезжей части</t>
  </si>
  <si>
    <t>Докладка каждого дополнительного канала кабельной канализации.</t>
  </si>
  <si>
    <t>Разработка основных предпроектных решений (включая перечень и стоимость работ).  Согласование предпроектных решений с Заказчиком. Согласование с Арендодателем и Клиентом: 
- размещения антенн и оборудования ; 
- трасс прокладки кабелей;
- схемы электроснабжения оборудования;
- Технических условий на электроснабжение.</t>
  </si>
  <si>
    <t xml:space="preserve">Настройка пролета РРС (юстировка антенн)
</t>
  </si>
  <si>
    <t xml:space="preserve">СМР, в том числе и не ограничиваясь перечисленным: демонтаж опор, транспортировка демонтированных опор на свалку или на склад Заказчика.  </t>
  </si>
  <si>
    <t>Изыскание потенциальных объектов, определение технической возможности для размещения оборудования</t>
  </si>
  <si>
    <t>объект</t>
  </si>
  <si>
    <t xml:space="preserve">Заключение договора аренды на объект для размещения оборудования (тех сопровождение). </t>
  </si>
  <si>
    <t xml:space="preserve"> Оформление по форме Заказчика, в соответствии с нормами действующего законодательства РФ, договора на размещение БС (аренды, услуг, иных форм договоров):
-сбор у арендодателя и предоставление Заказчику пакета документов для заключения договора, согласно требований Заказчика;
-подписание договора у всех заинтересованных сторон;
-сдача подписанного договора Заказчику. 
Письменное согласование от собственника возможности проведения работ по гарантийному письму до подписания договора.</t>
  </si>
  <si>
    <t xml:space="preserve">С оформлением Протокола лабораторных испытаний интенсивности электромагнитного поля и получение санитарно-эпидемиологических Заключений, в соответствии с результатами проведения экспертизы (оценки), на размещение РРЛ.
Разрабатывается с учетом расчета СИВ (суммарной интенсивности взаимодействия) от всех источников электромагнитных излучений радиочастотных устройств). 
Включает передачу материалов Рабочего проекта на строительство РЭС в управление Роспотребнадзора. Получение Санитарно-эпидемиологического и экспертного заключения территориального управления Роспотребнадзора по материалам проектной документации (форма Р1) с разрешением проектируемых решений.
В цену включены услуги подрядной организации по получению положительного Заключения, включая обязательные платежи.
</t>
  </si>
  <si>
    <t>Заключение разрабатывается специализированной организацией, имеющей разрешительную документацию на проведение данных работ. Позиция предусматривает: 
-сбор исходных данных для проведения поверочного расчета; 
-проведение поверочного расчета с целью определения возможности размещения дополнительных конструкций/оборудования Заказчика; 
- оформление и передачу Заказчику заключения о возможности размещения дополнительных конструкций/оборудования</t>
  </si>
  <si>
    <t>Расчет несущей способности антенной опоры с учетом доустанавливаемого оборудования и предоставление  заключения о несущей способности АМС, включая необходимые согласования</t>
  </si>
  <si>
    <t>Выполняется силами подрядчика, при условии наличия у него разрешительных документов на проведения данного вида работ, либо привлечение специализированной организации для проведения обследования и выпуска экспертного заключения, включая: 
- обследование технического состояния антенной опоры на предмет возможности размещения на ней дополнительных конструкций/оборудования Заказчика;
- проведение поверочного расчета с целью определения возможности размещения дополнительных конструкций/оборудования Заказчика;   
 проведение всех необходимых прочностных расчетов с выводами о возможности/не возможности использования обследуемого сооружения для нужд Заказчика
- оформление и передача Заказчику заключения о возможности размещения дополнительных конструкций/оборудования.   
-предоставление  Отчета с заключением и рекомендациями (в том числе отчет о вертикальности АМС).</t>
  </si>
  <si>
    <t>Может применяться  при наличии отдельного требования Заказчика</t>
  </si>
  <si>
    <t>Применяется только при наличии отдельного требования Заказчика</t>
  </si>
  <si>
    <t>Позиция предусматривает:
 - настройку пролета (юстировка антенн), тестирование оборудования и каналов в соответствии с рекомендациями фирмы-производителя и требованиями Заказчика;
- подготовку комплекта документов по результатам настройки и тестирования (Акт).</t>
  </si>
  <si>
    <t>5.16</t>
  </si>
  <si>
    <t>5.17</t>
  </si>
  <si>
    <t>5.18</t>
  </si>
  <si>
    <t>Монтаж АМС, в т.ч. металлоконструкция  (включая лестницу, заспинное ограждение, молниезащиту, светоограждение)</t>
  </si>
  <si>
    <t>Комплекс работ по изготовлению объекта, включая:
Приобретение. Доставка на площадку строительства БС. Сборка. Монтаж на фундаменте  или с использованием трубостоек, Подключение к системе молниезащиты и заземления БС. (включая все расходные материалы). Предоставление исполнительной документации, согласно требований Заказчика.</t>
  </si>
  <si>
    <t>5.19</t>
  </si>
  <si>
    <t>Строительство контура заземления</t>
  </si>
  <si>
    <t>5.21</t>
  </si>
  <si>
    <t>Компенсация за использование автовышки для необслуживаемых АМС.</t>
  </si>
  <si>
    <t>5.22</t>
  </si>
  <si>
    <t>Использование альпиниста</t>
  </si>
  <si>
    <t>Оплата за манипулятор и организацию "заставки" для проведения работ автовышки (мигающая стрелка, знаки, конуса, машина сопровождения и т.д.), оплата производится за одну смену по факту выполнения работ. Позиция применяется только для необслуживаемых АМС</t>
  </si>
  <si>
    <t>смена</t>
  </si>
  <si>
    <t xml:space="preserve">Предусмотрено использование альпиниста одну рабочую смену (8 часов) без учета времени в пути. </t>
  </si>
  <si>
    <t>Применяется при наличии обоснования для использования</t>
  </si>
  <si>
    <t>ПИР, СМР, прочие, не ограничиваясь перечисленным:  устройство, при необходимости, отверстия в стене с  заделкой (с установкой гильз),  устройство гнезд для подрозетников с восстановлением отделки стен, с учетом стоимости  материалов. Проверка. Оформление исполнительной документации.</t>
  </si>
  <si>
    <t>Установка, монтаж, ПНР точки доступа УЦН ( Wi-Fi)</t>
  </si>
  <si>
    <t>5.23</t>
  </si>
  <si>
    <t>Стоимость с учетом определения технологических решений монтажа на ответной части (существующей станции привязки)</t>
  </si>
  <si>
    <t>п.м. перехода</t>
  </si>
  <si>
    <t xml:space="preserve">ПИР'СКС </t>
  </si>
  <si>
    <t>ПИР: Разработка проектной документации, получение необходимых ТУ, согласований, разработка исполнительной документации.</t>
  </si>
  <si>
    <t>1 порт</t>
  </si>
  <si>
    <t>Обследование объекта</t>
  </si>
  <si>
    <t>Отчёт о выполнении ППР (включая эскизный проект, схему прокладки кабельных линий, перечень объемов работ), определение технической возможности и стоимости. Определение перечня необходимых согласующих организаций.</t>
  </si>
  <si>
    <t>1 объект</t>
  </si>
  <si>
    <t xml:space="preserve">Демонтаж кабель каналов, коробов ПВХ </t>
  </si>
  <si>
    <t>СМР, демонтаж (разборка/сборка) кабель каналов, комплектующих (крышки, разделительные перегородки), включая сопутствующие работы.</t>
  </si>
  <si>
    <t xml:space="preserve">Демонтаж труб, гофры </t>
  </si>
  <si>
    <t>СМР, демонтаж, включая сопутствующие работы.</t>
  </si>
  <si>
    <t>Монтаж кабельных лотков потолочного/настенного типа, включая работы по установке узлов крепления, фурнитуры, поворотных элементов, сопутствующих работ, заземления (при необходимости), стоимость основных и  крепежных материалов.</t>
  </si>
  <si>
    <t>Демонтаж кабеля витая пара из короба, лотка, кабельного канала, гофры и т.д.</t>
  </si>
  <si>
    <t xml:space="preserve">Демонтаж силового кабеля (провода)  из короба, лотка, кабельного канала, гофры и т.д. </t>
  </si>
  <si>
    <t>Штробление стен и заделка борозды</t>
  </si>
  <si>
    <t>СМР, независимо от материалов поверхности, включая сопутствующие работы</t>
  </si>
  <si>
    <t>1м борозды</t>
  </si>
  <si>
    <t>м.</t>
  </si>
  <si>
    <t>Демонтаж и отключение розетки</t>
  </si>
  <si>
    <t>СМР, демонтаж и отключение информационной розетки</t>
  </si>
  <si>
    <t>Обжим коннектора RJ11, RJ45</t>
  </si>
  <si>
    <t>СМР монтаж коннектора RJ11, RJ45, включая стоимость основных материалов (коннектор, колпачок).</t>
  </si>
  <si>
    <t>Обжим коннектора BNC</t>
  </si>
  <si>
    <t>СМР монтаж коннектора BNC, включая стоимость основных и крепежных материалов.</t>
  </si>
  <si>
    <t>Установка автоматического выключателя</t>
  </si>
  <si>
    <t>СМР, сборка монтаж навесного бокса (щита) не укомплектованного автоматическими выключателями, независимо от материала поверхности, включая  стоимость основных и крепежных материалов.</t>
  </si>
  <si>
    <t>СМР, включая и не ограничиваясь перечисленным: установка, монтаж розетки, выключателя в/на коробе/кабель-канале (мини колонне), стоимость основных и крепежных материалов.</t>
  </si>
  <si>
    <t xml:space="preserve">Демонтаж розетки/выключателя </t>
  </si>
  <si>
    <t>СМР, демонтаж и отключение розетки/выключателя</t>
  </si>
  <si>
    <t>Установка Разветвительной коробки</t>
  </si>
  <si>
    <t>СМР: Монтаж и расключение разветвительной коробки, включая стоимость основных и  крепежных материалов.</t>
  </si>
  <si>
    <t>Монтаж электрического счетчика</t>
  </si>
  <si>
    <t>Монтаж электрического счетчика, включая стоимость основных и  крепежных материалов.</t>
  </si>
  <si>
    <t xml:space="preserve">Монтаж шины заземления  </t>
  </si>
  <si>
    <t>СМР, монтаж шины заземления (ГЗШ), подключение к контору заземления, маркировка, с учетом стоимости крепежных изделий.</t>
  </si>
  <si>
    <t>Монтаж оборудования в существующий телекоммуникационный шкаф/стойку *</t>
  </si>
  <si>
    <t xml:space="preserve">СМР. Установка коммутатора  доступа, VoIP шлюза до 48 портов FXO/ FXS, платы расширения, коммутатора агрегации, оптического мультиплексора (4хЕ1, 2хFE), медиаконвертера, ИБП. СМР, ПНР, включая  монтаж SFP и стоимость материалов и кабеля, без учета стоимости оборудования. Монтаж оборудования   в существующую стойку (шкаф), подключение  электропитания от существующего источника питания; подключение к каналообразующему оборудованию, преднастройка/настройка.  </t>
  </si>
  <si>
    <t>1-я 'ед. оборудования</t>
  </si>
  <si>
    <t xml:space="preserve">пара </t>
  </si>
  <si>
    <t>Монтаж медножильных  патч-кордов</t>
  </si>
  <si>
    <t>Монтаж, коммутация, медножильных  патч-кордов до 5 м., включая стоимость основных и крепежных материалов.</t>
  </si>
  <si>
    <t>Маркировка розетки и порта на патч панели</t>
  </si>
  <si>
    <t xml:space="preserve">Тестирование соединений UTP, STP на соответствие категории 5e,6e </t>
  </si>
  <si>
    <t xml:space="preserve">порт /направление </t>
  </si>
  <si>
    <t>Пусконаладочные работы  по электромонтажным работам</t>
  </si>
  <si>
    <t>СМР, Укладка антистатического, токопроводящего линолеума с проваркой швов, медной лентой, устройством заземления, включая подготовку поверхности к производству работ, стоимость основных и  расходных материалов.</t>
  </si>
  <si>
    <t xml:space="preserve">Монтаж фальшпола </t>
  </si>
  <si>
    <t>СМР, устройство, монтаж фальшпола, подготовка поверхности, установка конструкций основания, укладка плит, включая стоимость основных и расходных материалов.</t>
  </si>
  <si>
    <t>Демонтаж/монтаж плит фальшпола</t>
  </si>
  <si>
    <t>Демонтаж/монтаж плит фальш пола,  частичная разборка и сборка устроенных конструкций</t>
  </si>
  <si>
    <t>Демонтаж/монтаж фальшпотолка (Реечного типа/Амстронг)</t>
  </si>
  <si>
    <t xml:space="preserve">СМР, частичная разборка и сборка устроенных конструкций, включая сопутствующие работы. </t>
  </si>
  <si>
    <t>Только плитки</t>
  </si>
  <si>
    <t>Монтаж оптических  патч-кордов</t>
  </si>
  <si>
    <t>Монтаж/установка автоматизированного рабочего места (АРМ) (без учета настройки и тестирования)</t>
  </si>
  <si>
    <t xml:space="preserve">СМР: Монтаж АРМ  в составе:  монитор, системный блок,/моноблок, блок бесперебойного питания, клавиатура и/или мышь, включая их установку, подключение к сети электропитания, сети ЛВС. С учетом стоимости работ, стоимости крепежных  материалов и патч-корда. </t>
  </si>
  <si>
    <t>1 АРМ</t>
  </si>
  <si>
    <t>Установка/замена блока бесперебойного источника питания под автоматизированное рабочее место (АРМ)</t>
  </si>
  <si>
    <t>СМР: Установка/замена блока бесперебойного источника питания под автоматизированное рабочее место (АРМ), подключение к сети электропитания.</t>
  </si>
  <si>
    <t>1 устройство</t>
  </si>
  <si>
    <t>Монтаж/установка периферийного устройства (с учетом настройки и тестирования)</t>
  </si>
  <si>
    <t xml:space="preserve">СМР: Монтаж периферийного устройства (Сканер, принтер, копир, плоттер, МФУ),  подключение к сети электропитания, сети ЛВС, настройка, тестирование.  С учетом стоимости работ по прокладке патч-корда,  стоимости крепежных  материалов и патч-корда. </t>
  </si>
  <si>
    <t xml:space="preserve">Демонтаж АРМ/периферийного устройства </t>
  </si>
  <si>
    <t xml:space="preserve">Настройка и тестирование автоматизированного рабочего места (АРМ). </t>
  </si>
  <si>
    <t>Установка/подключение телефонного аппарата</t>
  </si>
  <si>
    <t>1.1.1</t>
  </si>
  <si>
    <t>порт</t>
  </si>
  <si>
    <t>1.1.2</t>
  </si>
  <si>
    <t>1.1.3</t>
  </si>
  <si>
    <t>1.2</t>
  </si>
  <si>
    <t>1.2.1</t>
  </si>
  <si>
    <t>1.3</t>
  </si>
  <si>
    <t>1.3.1</t>
  </si>
  <si>
    <t>1.3.2</t>
  </si>
  <si>
    <t>Строительство широкополосных (СКТВ) ДРС (с учётом полного перечня расходных и монтажных материалов, за исключением работ по установке и шкафов)</t>
  </si>
  <si>
    <t>Получение акта разграничения балансовой принадлежности</t>
  </si>
  <si>
    <t>Получение акта разграничения балансовой принадлежности и эксплуатационной ответственности сторон.
Позиция предусматривает:
- оформление (по форме электроснабжающей организации или Заказчика) акта разграничения балансовой принадлежности и эксплуатационной ответственности сторон;
 - оплата за подготовку и выдачу акта разграничения балансовой принадлежности и эксплуатационной ответственности сторон сетевой организации;
- предоставление акта Заказчику.</t>
  </si>
  <si>
    <t>акт</t>
  </si>
  <si>
    <t>Получение ТУ на электроснабжение</t>
  </si>
  <si>
    <t>Получение ТУ на электроснабжение. Позиция предусматривает обследование площадки под монтаж и определение возможности технологического присоединения, точки подключения, получение ТУ у Арендодателя и передачу его Заказчику для подписания, подписание ТУ  у Арендодателя (в срок до  5 дней), включая оплату услуг по получению  ТУ.</t>
  </si>
  <si>
    <t>ТУ</t>
  </si>
  <si>
    <t>Проведение приемо-сдаточных испытаний электроустановок</t>
  </si>
  <si>
    <t>Проведение приемо-сдаточных испытаний электроустановок объекта сети радиодоступа с оформлением технического отчета установленной формы. Позиция предусматривает организацию приемо-сдаточных испытаний, проведение всех необходимых измерений, оформление протоколов измерений для подготовки и передачи Заказчику отчета установленной органами Ростехнадзора формы.
Цена указывается за отчет установленной формы, включает затраты на организацию и проведение измерений, оформление комплекта необходимых документов.</t>
  </si>
  <si>
    <t>отчёт</t>
  </si>
  <si>
    <t>Проведение измерений сопротивления изоляции электрических кабелей и сопротивление переходных контактов связей с заземлителями подъездных усилителей</t>
  </si>
  <si>
    <t>Проведение измерений сопротивления изоляции электрических кабелей и сопротивление переходных контактов связей с заземлителями подъездных усилителей с оформлением протоколов на здание.</t>
  </si>
  <si>
    <t>Обновление программного обеспечения оборудования</t>
  </si>
  <si>
    <t>Монтаж оптических кроссовых шкафов</t>
  </si>
  <si>
    <t>порт 1-го каскада</t>
  </si>
  <si>
    <t>3.1.1</t>
  </si>
  <si>
    <t>3.1.2</t>
  </si>
  <si>
    <t>3.1.3</t>
  </si>
  <si>
    <t>3.2.1</t>
  </si>
  <si>
    <t>3.2.2</t>
  </si>
  <si>
    <t>3.2.3</t>
  </si>
  <si>
    <t>3.3.1</t>
  </si>
  <si>
    <t>3.3.2</t>
  </si>
  <si>
    <t>3.3.3</t>
  </si>
  <si>
    <t>ПИР, СМР: оборудования OLT, коммутатора концентрации, подключение к питанию, кроссировка на оптический кросс, включая стоимость расходных материалов, кабелей и комплектующих, оформление исполнительной документации. (Все работы производятся в существующих стойках и шкафах).</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</si>
  <si>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50м</t>
  </si>
  <si>
    <t>1 линия</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</si>
  <si>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100м</t>
  </si>
  <si>
    <t>3.5.3</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</si>
  <si>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150м</t>
  </si>
  <si>
    <t>3.5.4</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</si>
  <si>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200м</t>
  </si>
  <si>
    <t>3.5.5</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</si>
  <si>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250м</t>
  </si>
  <si>
    <t>3.5.6</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</si>
  <si>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300м</t>
  </si>
  <si>
    <t>3.5.7</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</si>
  <si>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350м</t>
  </si>
  <si>
    <t>3.5.8</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</si>
  <si>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400м</t>
  </si>
  <si>
    <t>3.6.4</t>
  </si>
  <si>
    <t>3.6.5</t>
  </si>
  <si>
    <t>3.6.6</t>
  </si>
  <si>
    <t>Организация оптической абонентской линии GPON/P2P с коннекторами ("подключение с розеткой"). Расценка применяется для подключений от ОРК/ОРШ/УКС/дропмуфты, существующих и предусмотренных в период строительства. Длина линии до 300м</t>
  </si>
  <si>
    <t>3.6.7</t>
  </si>
  <si>
    <t>3.6.8</t>
  </si>
  <si>
    <t>1 ед. оборудования</t>
  </si>
  <si>
    <t>1 га</t>
  </si>
  <si>
    <t>км</t>
  </si>
  <si>
    <t>4.1.1</t>
  </si>
  <si>
    <t>4.1.2</t>
  </si>
  <si>
    <t>4.1.5</t>
  </si>
  <si>
    <t>4.1.6</t>
  </si>
  <si>
    <t>4.2.1</t>
  </si>
  <si>
    <t>4.2.2</t>
  </si>
  <si>
    <t>4.2.3</t>
  </si>
  <si>
    <t>4.2.4</t>
  </si>
  <si>
    <t>4.2.5</t>
  </si>
  <si>
    <t>4.2.6</t>
  </si>
  <si>
    <t>4.2.7</t>
  </si>
  <si>
    <t>4.3.1</t>
  </si>
  <si>
    <t>4.3.2</t>
  </si>
  <si>
    <t>4.3.3</t>
  </si>
  <si>
    <t>4.3.4</t>
  </si>
  <si>
    <t>4.3.5</t>
  </si>
  <si>
    <t>4.3.6</t>
  </si>
  <si>
    <t>4.3.7</t>
  </si>
  <si>
    <t>СМР, Прочие затраты:  сварка одного волокна (точка сварки), все виды измерений, тестирований, паспортизация (не ограничиваясь перечисленным: в электронном виде, Excel-формат для рефлектограмм, протоколы, схемы разварки), монтаж/перемонтаж муфты/кросса для переварки волокон, включая стоимость основных и расходных материалов, в том числе для герметизации муфты (при необходимости),  стоимость переездов из точки измерений 1 (откуда ведется измерение) в точку измерений 2 (где находится источник), другие транспортные и все прочие расходы.</t>
  </si>
  <si>
    <t>5.5.1</t>
  </si>
  <si>
    <t>5.5.2</t>
  </si>
  <si>
    <t>Монтаж уличного шкафа распределительного (ШР)</t>
  </si>
  <si>
    <t>6.1</t>
  </si>
  <si>
    <t>6.2</t>
  </si>
  <si>
    <t>6.3</t>
  </si>
  <si>
    <t>6.4</t>
  </si>
  <si>
    <t>6.5</t>
  </si>
  <si>
    <t>6.6</t>
  </si>
  <si>
    <t>6.7</t>
  </si>
  <si>
    <t>6.9</t>
  </si>
  <si>
    <t>1 коммутатор</t>
  </si>
  <si>
    <t>6.10</t>
  </si>
  <si>
    <t>6.11</t>
  </si>
  <si>
    <t>6.12</t>
  </si>
  <si>
    <t>6.13</t>
  </si>
  <si>
    <t>6.14</t>
  </si>
  <si>
    <t>6.15</t>
  </si>
  <si>
    <t>6.16</t>
  </si>
  <si>
    <t>6.17</t>
  </si>
  <si>
    <t>6.18</t>
  </si>
  <si>
    <t>6.19</t>
  </si>
  <si>
    <t>6.20</t>
  </si>
  <si>
    <t>ПИР, СМР, Прочие затраты, не ограничиваясь перечисленным: прокладка и монтаж кабеля по трубе/коробу/гофре/металлорукаве с устройством, при необходимости, отверстий в стенах с заделкой (с установкой гильз),  с учетом стоимости кабеля,  прочих материалов.  Проверка состояния изоляции кабеля до и после прокладки. Маркировка. Присоединение к зажимам жил и проводов. Измерения. Оформление исполнительной документации.</t>
  </si>
  <si>
    <t>6.21</t>
  </si>
  <si>
    <t>ПИР, СМР, Прочие затраты, не ограничиваясь перечисленным: прокладка трубы/короба/гофры, прокладка и монтаж кабеля по трубе/коробу/гофре с устройством, при необходимости, отверстий в стенах  с заделкой (с установкой гильз), с учетом стоимости трубы/короба/гофры, кабеля,  прочих материалов. Проверка состояния изоляции кабеля до и после прокладки. Маркировка. Присоединение к зажимам жил и проводов. Измерения.  Оформление исполнительной документации.</t>
  </si>
  <si>
    <t>6.22</t>
  </si>
  <si>
    <t>ПИР, СМР, Прочие затраты, не ограничиваясь перечисленным: прокладка металлорукава, прокладка и монтаж кабеля по металлорукаву с устройством, при необходимости, отверстий в стенах  (с установкой гильз),  с заделкой,  с учетом стоимости металлорукава, кабеля,  прочих материалов. Проверка состояния изоляции кабеля до и после прокладки. Маркировка. Присоединение к зажимам жил и проводов. Измерения.  Оформление исполнительной документации.</t>
  </si>
  <si>
    <t>6.23</t>
  </si>
  <si>
    <t>ПИР, СМР, Прочие затраты, не ограничиваясь перечисленным: прокладка и монтаж кабеля скобами по стене, с устройством, при необходимости, отверстий в стенах  с заделкой, (с установкой гильз),  с учетом стоимости кабеля, прочих материалов. Проверка состояния изоляции кабеля до и после прокладки. Маркировка. Присоединение к зажимам жил и проводов. Измерения. Оформление исполнительной документации.</t>
  </si>
  <si>
    <t>6.24</t>
  </si>
  <si>
    <t>ПИР, СМР, Прочие затраты, не ограничиваясь перечисленным: прокладка и монтаж кабеля по борозде с креплением скобами, с устройством и заделкой борозды с финишной отделкой, с устройством, при необходимости, отверстий в стенах  с заделкой (с установкой гильз),  с учетом стоимости кабеля, прочих материалов. Проверка состояния изоляции кабеля до и после прокладки. Маркировка. Присоединение к зажимам жил и проводов. Измерения. Оформление исполнительной документации.</t>
  </si>
  <si>
    <t>6.25</t>
  </si>
  <si>
    <t>6.26</t>
  </si>
  <si>
    <t>6.27</t>
  </si>
  <si>
    <t>6.28</t>
  </si>
  <si>
    <t>6.29</t>
  </si>
  <si>
    <t>6.30</t>
  </si>
  <si>
    <t xml:space="preserve">Прокладка и монтаж кабеля типа UTP/FTP методом воздушного перехода с оконцовкой коннектором типа RJ </t>
  </si>
  <si>
    <t>ПИР, СМР, Прочие затраты, не ограничиваясь перечисленным: прокладка и монтаж кабеля методом ВП с учетом разделок, оконцовки с устройством, при необходимости, отверстий в конструкциях  с заделкой (с установкой гильз), с учетом стоимости  кабеля,  коннектора, прочих материалов.   Оформление исполнительной документации.</t>
  </si>
  <si>
    <t>6.31</t>
  </si>
  <si>
    <t>6.32</t>
  </si>
  <si>
    <t>6.33</t>
  </si>
  <si>
    <t>6.34</t>
  </si>
  <si>
    <t>6.35</t>
  </si>
  <si>
    <t>6.36</t>
  </si>
  <si>
    <t>6.37</t>
  </si>
  <si>
    <t>ПИР, СМР, прочие, не ограничиваясь перечисленным: прокладка и монтаж кабеля по трубе/коробу/гофре от установленного оборудования,  с учетом стоимости разделки,  с устройством, при необходимости, отверстий в стенах  с заделкой (с установкой гильз),  с учетом стоимости кабеля, прочих материалов.  Оформление исполнительной документации.</t>
  </si>
  <si>
    <t>подъезд</t>
  </si>
  <si>
    <t>6.38</t>
  </si>
  <si>
    <t>6.39</t>
  </si>
  <si>
    <t>6.40</t>
  </si>
  <si>
    <t>6.41</t>
  </si>
  <si>
    <t>6.42</t>
  </si>
  <si>
    <t>6.43</t>
  </si>
  <si>
    <t>6.44</t>
  </si>
  <si>
    <t>СМР, ПИР включая, не ограничиваясь перечисленным:  установку делителей, ответвителей, с учетом стоимости всех материалов (включая стоимость коаксиального кабеля любого типа), прочие, оформление разрешительных документов, исполнительной документации.</t>
  </si>
  <si>
    <t>6.45</t>
  </si>
  <si>
    <t>СМР, ПИР включая, не ограничиваясь перечисленным:  установку делителей, ответвителей, труб, коробов, кабель-каналов и др., с учетом стоимости всех материалов (включая стоимость коаксиального кабеля любого типа), прочие, оформление разрешительных документов, исполнительной документации.</t>
  </si>
  <si>
    <t>6.46</t>
  </si>
  <si>
    <t>6.47</t>
  </si>
  <si>
    <t>6.48</t>
  </si>
  <si>
    <t>6.49</t>
  </si>
  <si>
    <t>Монтаж оборудования ГО и ЧС</t>
  </si>
  <si>
    <t>6.50</t>
  </si>
  <si>
    <t>6.51</t>
  </si>
  <si>
    <t>6.52</t>
  </si>
  <si>
    <t>6.53</t>
  </si>
  <si>
    <t>6.54</t>
  </si>
  <si>
    <t>6.55</t>
  </si>
  <si>
    <t>Прокладка распределительного радиофидера</t>
  </si>
  <si>
    <t>ПИР, СМР: Монтаж медножильной фидерной линии 240В методом подвеса на трубостойки, включая кабель, трубостойки, анкера и расходные материалы.</t>
  </si>
  <si>
    <t>6.56</t>
  </si>
  <si>
    <t>ПИР, СМР:  Включено, не ограничиваясь перечисленным:  прокладка и монтаж провода с устройством и заделкой борозды с финишной отделкой, с учетом стоимости всех материалов, прочие, оформление разрешительных документов, исполнительной документации.</t>
  </si>
  <si>
    <t>6.57</t>
  </si>
  <si>
    <t>ПИР, СМР: Монтаж и расключение разветвительной коробки, с учетом стоимости материалов.</t>
  </si>
  <si>
    <t>6.58</t>
  </si>
  <si>
    <t>Установка абонентской розетки (наружная, встроенная)</t>
  </si>
  <si>
    <t>ПИР, СМР: Монтаж наружной абонентской розетки, с учетом стоимости материалов.</t>
  </si>
  <si>
    <t>6.59</t>
  </si>
  <si>
    <t>Установка ТАМУ (Трансформатор абонентский унифицированный)</t>
  </si>
  <si>
    <t>6.60</t>
  </si>
  <si>
    <t>Монтаж электросчетчика с радиомодулем</t>
  </si>
  <si>
    <t>6.62</t>
  </si>
  <si>
    <t>6.63</t>
  </si>
  <si>
    <t>1 ДХ</t>
  </si>
  <si>
    <t>6.64</t>
  </si>
  <si>
    <t>6.65</t>
  </si>
  <si>
    <t>Основная расценка при организации абонентской линии от ШАН/КРТ в ДХ абонента!</t>
  </si>
  <si>
    <t>Основная расценка при организации абонентской линии от ОРК в ДХ абонента!</t>
  </si>
  <si>
    <t>4.4.5</t>
  </si>
  <si>
    <t>4.4.3</t>
  </si>
  <si>
    <t>4.4.4</t>
  </si>
  <si>
    <t>4.4.6</t>
  </si>
  <si>
    <t>4.4.7</t>
  </si>
  <si>
    <t>4.6.1</t>
  </si>
  <si>
    <t>4.6.2</t>
  </si>
  <si>
    <t>4.6.3</t>
  </si>
  <si>
    <t>4.6.4</t>
  </si>
  <si>
    <t>4.6.5</t>
  </si>
  <si>
    <t>4.7.1</t>
  </si>
  <si>
    <t>4.7.2</t>
  </si>
  <si>
    <t>4.7.3</t>
  </si>
  <si>
    <t>4.7.4</t>
  </si>
  <si>
    <t>4.7.5</t>
  </si>
  <si>
    <t>4.7.6</t>
  </si>
  <si>
    <t>4.7.7</t>
  </si>
  <si>
    <t>4.7.8</t>
  </si>
  <si>
    <t>4.7.9</t>
  </si>
  <si>
    <t>4.8.4</t>
  </si>
  <si>
    <t>4.8.5</t>
  </si>
  <si>
    <t>4.8.6</t>
  </si>
  <si>
    <t>4.8.7</t>
  </si>
  <si>
    <t>4.8.8</t>
  </si>
  <si>
    <t>4.8.9</t>
  </si>
  <si>
    <t>Основная расценка при организации абонентской линии  от ШАН/КРТ в ДХ абонента!</t>
  </si>
  <si>
    <t>ПИР, СМР, Прочие затраты, не ограничиваясь перечисленным: прокладка и монтаж кабеля по стене (в т.ч. по фасаду) от установленных ШАН и патч-панелей, с учетом стоимости разделки, устройством отверстий в стенах (с установкой гильз), заделкой, с учетом стоимости кабеля, коннектора/розетки RJ, прочих материалов. Оформление исполнительной документации.</t>
  </si>
  <si>
    <t>Не применимо совместно с расценками пп. 4.2÷4.4</t>
  </si>
  <si>
    <t>4.5.1</t>
  </si>
  <si>
    <t>4.5.2</t>
  </si>
  <si>
    <t>4.5.3</t>
  </si>
  <si>
    <t>4.5.4</t>
  </si>
  <si>
    <t>4.5.5</t>
  </si>
  <si>
    <t>4.5.6</t>
  </si>
  <si>
    <t>Работы и Услуги. Включено, не ограничиваясь перечисленным: прокладка и монтаж кабеля по стене или по существующим конструкциям от кроссового устройства (ОРШ/ОРК) до оптической розетки (с её стоимостью и установкой), с устройством отверстий в стенах, (с установкой гильз) с заделкой, с учетом стоимости кабеля, всех материалов и оптической розетки. С учетом стоимости разделки. Оформление исполнительной документации.</t>
  </si>
  <si>
    <t>Работы и Услуги. Включено, не ограничиваясь перечисленным: прокладка и монтаж кабеля по стене или по конструкциям (с их установкой) от кроссового устройства (ОРШ/ОРК) до оптической розетки (с её стоимостью и установкой), с устройством отверстий в стенах,  (с установкой гильз) с заделкой, с учетом стоимости кабеля, всех материалов, конструкций и оптической розетки. С учетом стоимости разделки. Оформление исполнительной документации.</t>
  </si>
  <si>
    <t>6.66</t>
  </si>
  <si>
    <t>6.67</t>
  </si>
  <si>
    <t>6.68</t>
  </si>
  <si>
    <t>6.69</t>
  </si>
  <si>
    <t>6.70</t>
  </si>
  <si>
    <t>6.71</t>
  </si>
  <si>
    <t>6.72</t>
  </si>
  <si>
    <t>6.73</t>
  </si>
  <si>
    <t>6.74</t>
  </si>
  <si>
    <t>6.75</t>
  </si>
  <si>
    <t>6.76</t>
  </si>
  <si>
    <t>6.77</t>
  </si>
  <si>
    <t>6.78</t>
  </si>
  <si>
    <t>6.79</t>
  </si>
  <si>
    <t>6.80</t>
  </si>
  <si>
    <t>6.83</t>
  </si>
  <si>
    <t>6.84</t>
  </si>
  <si>
    <t>6.85</t>
  </si>
  <si>
    <t>6.86</t>
  </si>
  <si>
    <t>6.87</t>
  </si>
  <si>
    <t>6.88</t>
  </si>
  <si>
    <t>6.90</t>
  </si>
  <si>
    <t>6.92</t>
  </si>
  <si>
    <t>6.93</t>
  </si>
  <si>
    <t>6.94</t>
  </si>
  <si>
    <t>6.95</t>
  </si>
  <si>
    <t>6.96</t>
  </si>
  <si>
    <t>6.97</t>
  </si>
  <si>
    <t>6.98</t>
  </si>
  <si>
    <t>6.99</t>
  </si>
  <si>
    <t>6.100</t>
  </si>
  <si>
    <t>6.101</t>
  </si>
  <si>
    <t>6.102</t>
  </si>
  <si>
    <t>7.1</t>
  </si>
  <si>
    <t>7.2</t>
  </si>
  <si>
    <t>7.3</t>
  </si>
  <si>
    <t>7.4</t>
  </si>
  <si>
    <t>7.5</t>
  </si>
  <si>
    <t>7.6</t>
  </si>
  <si>
    <t>7.7</t>
  </si>
  <si>
    <t>7.8</t>
  </si>
  <si>
    <t>7.9</t>
  </si>
  <si>
    <t>7.10</t>
  </si>
  <si>
    <t>7.11</t>
  </si>
  <si>
    <t>7.12</t>
  </si>
  <si>
    <t>7.13</t>
  </si>
  <si>
    <t>7.14</t>
  </si>
  <si>
    <t>7.15</t>
  </si>
  <si>
    <t>7.16</t>
  </si>
  <si>
    <t>7.17</t>
  </si>
  <si>
    <t>7.18</t>
  </si>
  <si>
    <t>7.19</t>
  </si>
  <si>
    <t>7.20</t>
  </si>
  <si>
    <t>7.21</t>
  </si>
  <si>
    <t>7.22</t>
  </si>
  <si>
    <t>8.0.1</t>
  </si>
  <si>
    <t>8.0.2</t>
  </si>
  <si>
    <t>8.5.4.</t>
  </si>
  <si>
    <t>8.4.4</t>
  </si>
  <si>
    <t>8.4.5</t>
  </si>
  <si>
    <t>8.4.6</t>
  </si>
  <si>
    <t>8.4.7</t>
  </si>
  <si>
    <t>8.5.1</t>
  </si>
  <si>
    <t>8.5.2</t>
  </si>
  <si>
    <t>8.5.6</t>
  </si>
  <si>
    <t>8.5.7</t>
  </si>
  <si>
    <t>8.5.8</t>
  </si>
  <si>
    <t>8.5.9</t>
  </si>
  <si>
    <t>8.6.1</t>
  </si>
  <si>
    <t>8.6.2</t>
  </si>
  <si>
    <t>8.7.1</t>
  </si>
  <si>
    <t>8.7.2</t>
  </si>
  <si>
    <t>8.7.3</t>
  </si>
  <si>
    <t>8.7.4</t>
  </si>
  <si>
    <t>8.7.5</t>
  </si>
  <si>
    <t>8.7.6</t>
  </si>
  <si>
    <t>8.7.7</t>
  </si>
  <si>
    <t>8.7.8</t>
  </si>
  <si>
    <t>Не применяется совместно с Работами раздела с 1 по 3 включительно</t>
  </si>
  <si>
    <t>Не применяется совместно с Работами раздела с 1÷2 включительно</t>
  </si>
  <si>
    <t>Не применяется совместно с Работами раздела 1 включительно</t>
  </si>
  <si>
    <t>Не применяется совместно с Работами раздела с 1 по 2 включительно</t>
  </si>
  <si>
    <t>Линия</t>
  </si>
  <si>
    <t>ПИР, СМР: демонтаж шкафа, транспортировка демонтированного оборудования другое место установки или на склад заказчика, оформление разрешительных документов; оформление акта сдачи-приемки заказчику.</t>
  </si>
  <si>
    <t xml:space="preserve">Демонтаж оборудования из телекоммуникационного шкафа/стойки </t>
  </si>
  <si>
    <t xml:space="preserve">Демонтаж/монтаж фасадной керамической плитки, алюкобонд и пр. </t>
  </si>
  <si>
    <t>до 10x2</t>
  </si>
  <si>
    <t>1 муфта</t>
  </si>
  <si>
    <t>до 20x2</t>
  </si>
  <si>
    <t>до 30x2</t>
  </si>
  <si>
    <t>до 50x2</t>
  </si>
  <si>
    <t>до 100x2</t>
  </si>
  <si>
    <t>до 200x2</t>
  </si>
  <si>
    <t>до 300x2</t>
  </si>
  <si>
    <t>до 400x2</t>
  </si>
  <si>
    <t>до 600x2</t>
  </si>
  <si>
    <t>до 800x2</t>
  </si>
  <si>
    <t>Строительство сетей FTTB в Комплексных Новостройках:</t>
  </si>
  <si>
    <t>Строительство сетей абонентского доступа по технологии GPON Комплексных Новостройках:</t>
  </si>
  <si>
    <t xml:space="preserve">в случае, если протяженность трассы кабельной линии менее 100 м, стоимость приравнивается к удельной стоимости = 100 м независимо от фактической длины. </t>
  </si>
  <si>
    <t>4.9.1</t>
  </si>
  <si>
    <t>4.9.2</t>
  </si>
  <si>
    <t>4.9.3</t>
  </si>
  <si>
    <t>4.9.5</t>
  </si>
  <si>
    <t>4.9.4</t>
  </si>
  <si>
    <t>4.9.6</t>
  </si>
  <si>
    <t>4.9.8</t>
  </si>
  <si>
    <t>4.9.7</t>
  </si>
  <si>
    <t>4.9.9</t>
  </si>
  <si>
    <t xml:space="preserve">Монтаж муфты прямой/разветвительной  на  медном кабеле </t>
  </si>
  <si>
    <t>Землеустроительное дело</t>
  </si>
  <si>
    <t xml:space="preserve">Демонтаж  кабеля </t>
  </si>
  <si>
    <t>ёмкостью 10 - 100 пар</t>
  </si>
  <si>
    <t>ёмкостью 200 - 300 пар</t>
  </si>
  <si>
    <t>ёмкостью 400 - 600 пар</t>
  </si>
  <si>
    <t>ВОК до 8 волокон включительно</t>
  </si>
  <si>
    <t>ВОК от 8 до 12 волокон включительно</t>
  </si>
  <si>
    <t>ВОК от 12 до 16 волокон включительно</t>
  </si>
  <si>
    <t>ВОК от 16 до 24 волокон включительно</t>
  </si>
  <si>
    <t>ВОК от 24 до 32 волокон включительно</t>
  </si>
  <si>
    <t>ПИР, СМР, с учетом  стоимости монтажа, расключения, вспомогательных и основных материалов  (включая стоимость сплиттера). Оформлением разрешительных документов и исполнительной документации.</t>
  </si>
  <si>
    <t>8.7.9</t>
  </si>
  <si>
    <t>Демонтаж/монтаж облицовочной фасадной плитки (вентилируемый фасад)</t>
  </si>
  <si>
    <t>ПИР, СМР, включая: разработка грунта; стоимость КОТ-1/КОТ-2, плиты ПАКС  и других необходимых материалов,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t>
  </si>
  <si>
    <t>Подъём горловин колодцев</t>
  </si>
  <si>
    <t>5.24</t>
  </si>
  <si>
    <t>5.25</t>
  </si>
  <si>
    <t>5.26</t>
  </si>
  <si>
    <t>При необходимости, применяется совместно с Работами 1.1; 1.2; 2.1; 2.3.</t>
  </si>
  <si>
    <r>
      <t xml:space="preserve">Прокладка внутриобъектового ВОК,  со свободными модулями (ДРС GPON) </t>
    </r>
    <r>
      <rPr>
        <b/>
        <sz val="12"/>
        <color rgb="FF0000FF"/>
        <rFont val="Calibri"/>
        <family val="2"/>
        <charset val="204"/>
        <scheme val="minor"/>
      </rPr>
      <t/>
    </r>
  </si>
  <si>
    <t>СМР, Прочие затраты:  сварка одного волокна (точка сварки), все виды измерений, тестирований, паспортизация (не ограничиваясь перечисленным: в электронном виде, Excel-формат для рефлектограмм, протоколы, схемы разварки), и все прочие расходы.</t>
  </si>
  <si>
    <t>Сварка волокон (применяется только при установке/замене ОРК на существующей кабельной линии)</t>
  </si>
  <si>
    <t>- для Домохозяйств, охваченных по технологии FTTB с проникновением 100 %</t>
  </si>
  <si>
    <t>6.25.1</t>
  </si>
  <si>
    <t>6.25.2</t>
  </si>
  <si>
    <t>6.25.3</t>
  </si>
  <si>
    <t>6.25.4</t>
  </si>
  <si>
    <t>6.32.1</t>
  </si>
  <si>
    <t>6.32.2</t>
  </si>
  <si>
    <t>6.32.3</t>
  </si>
  <si>
    <t>Не применяется к разделу 2.</t>
  </si>
  <si>
    <t>Монтаж второго и каждого последующего коммутатора доступа/ СПВ-конвертера  в существующий телекоммуникационный шкаф в узле доступа</t>
  </si>
  <si>
    <t>Не применяется совместно с Работами раздела 1; 2 включительно</t>
  </si>
  <si>
    <t>6.103</t>
  </si>
  <si>
    <t>6.104</t>
  </si>
  <si>
    <t>6.105</t>
  </si>
  <si>
    <t>6.106</t>
  </si>
  <si>
    <t>6.107</t>
  </si>
  <si>
    <t>6.108</t>
  </si>
  <si>
    <t>6.109</t>
  </si>
  <si>
    <t>6.110</t>
  </si>
  <si>
    <t>6.111</t>
  </si>
  <si>
    <t>6.112</t>
  </si>
  <si>
    <t>6.113</t>
  </si>
  <si>
    <t>6.114</t>
  </si>
  <si>
    <t>6.115</t>
  </si>
  <si>
    <t>5.6.1</t>
  </si>
  <si>
    <t>5.6.2</t>
  </si>
  <si>
    <t>Расценка применяется при докладке канала к существующей трассе кабельной канализации.</t>
  </si>
  <si>
    <t>Установка/замена ОРК на существующей ДРС</t>
  </si>
  <si>
    <t>8.1.2</t>
  </si>
  <si>
    <t>8.1.3</t>
  </si>
  <si>
    <t>8.1.4</t>
  </si>
  <si>
    <t>8.1.5</t>
  </si>
  <si>
    <t>8.1.6</t>
  </si>
  <si>
    <t>8.1.7</t>
  </si>
  <si>
    <t>8.1.8</t>
  </si>
  <si>
    <t>8.1.9</t>
  </si>
  <si>
    <t>8.2.1</t>
  </si>
  <si>
    <t>8.2.2</t>
  </si>
  <si>
    <t>8.2.3</t>
  </si>
  <si>
    <t>8.2.4</t>
  </si>
  <si>
    <t>8.2.5</t>
  </si>
  <si>
    <t>8.2.6</t>
  </si>
  <si>
    <t>8.2.7</t>
  </si>
  <si>
    <t>8.2.8</t>
  </si>
  <si>
    <t>8.2.9</t>
  </si>
  <si>
    <t>8.3.1</t>
  </si>
  <si>
    <t>8.3.2</t>
  </si>
  <si>
    <t>8.3.3</t>
  </si>
  <si>
    <t>8.3.4</t>
  </si>
  <si>
    <t>Применяется при наличии соответствующих требований в ТУ владельцев инфраструктуры/эксплуатирующей организации</t>
  </si>
  <si>
    <t>Альбом марки РРС (Радиорелейная связь) разрабатывается в соответствии с требованиями нормативных документов Российской Федерации, действующих стандартов Заказчика, а также рекомендациями изготовителей изделий. В альбоме  отражаются технологические решения, применяемые для размещения и монтажа радиорелейного оборудования на ответной части - станции привязки. Альбом должен содержать:
- решения по размещению оборудования РРС и АФТ РРС, по соединению оборудования РРС, по заземлению и молниезащите оборудования РРС. 
В альбоме марки РРС должны быть приведены следующие документы: 
-общие данные (номер объекта, ведомость ссылочных и прилагаемых документов, ведомость рабочих чертежей марки РРС, общие указания по монтажу оборудования и АФТ РРС);
- план расположения оборудования и кабельных трасс в аппаратной;
- план расположения АФТ и аппаратной, схему соединений оборудования РРС, таблицу соединений, спецификации оборудования, изделий и материалов, чертеж металлоконструкций для установки антенн РРС.</t>
  </si>
  <si>
    <t>ПИР и СМР на узел на существующей Ж/Б опоре , включая:
1. Монтаж шкафа климатического (в сборе с ODF, шины заземления, DIN рейки, датчики), включая: 
 -монтаж системы электропитания (в том числе ВРУ, вводные автоматы, автоматы приоритетной/неприоритетной нагрузки), группы АКБ;
- монтаж коммутатора доступа;
- подключение к сети электроснабжения с использованием существующей точки присоединения и счетчика электроснабжения;
 - присоединение к системе заземления.
2. Монтаж точки доступа Wi-Fi  (в сборе с установкой внешнего блока и антенн),  присоединение к системе заземления; 
3. Монтаж, укладка и закрепление кабелей, оптических патч-кордов, FTP между шкафом УЦН, точкой доступа Wi-Fi и шкафом энергетиков, включая стоимость расходных материалов (не входящих в комплект поставки заказчика).
ПНР на узел, включая:
1. Включение, настройка ТД WI FI, проведение ПСИ.
2. Включение, настройка оборудования ПД, проведение ПСИ УУЦН.</t>
  </si>
  <si>
    <t xml:space="preserve">Не применяется совместно с Работами пунктов с 6.1÷6.3; 6.5÷ 6.8; 6.21÷6.24 </t>
  </si>
  <si>
    <t xml:space="preserve">Не применяется совместно с Работами пунктов с  6.5÷ 6.15; 6.21÷ 6.24 </t>
  </si>
  <si>
    <t>4.1 Предпроектные/проектно-изыскательские работы</t>
  </si>
  <si>
    <t>5.27</t>
  </si>
  <si>
    <t>При организации дополнительных услуг "Умный дом", возможно применение совместно с работами пункта 1.2</t>
  </si>
  <si>
    <t>Восстановление асфальтобетонного покрытия тротуаров</t>
  </si>
  <si>
    <t>Восстановление покрытия из брусчатки</t>
  </si>
  <si>
    <t>Укрепление существующих опор разных видов</t>
  </si>
  <si>
    <t>ПИР, СМР, включая стоимость материалов (трубы, гофры, короба), крепежа, сопутствующих работ, пробивки отверстий в стенах и перекрытиях, герметизация стоп-огонь. Оформление исполнительной документации.</t>
  </si>
  <si>
    <t xml:space="preserve">ПИР, СМР, включая стоимость материалов (трубы, гофры, короба), крепежа, сопутствующих работ, пробивки отверстий в стенах и перекрытиях, герметизация стоп-огонь. Оформление исполнительной документации.
</t>
  </si>
  <si>
    <t>ПИР, СМР, прочие, не ограничиваясь перечисленным: прокладка металлорукава, с устройством, при необходимости, отверстий в стенах с заделкой (с установкой гильз) герметизация стоп-огонь, с учетом стоимости металлорукава, прочих материалов.  Оформление исполнительной документации.</t>
  </si>
  <si>
    <t>Расценка применяется при выполнении комплекса работ по СКС на одном объекте</t>
  </si>
  <si>
    <t>Расценка применяется при выполнении комплекса работ по СКС на одном объекте
Применяется совместно с расценкой 8.5.6.</t>
  </si>
  <si>
    <t>5.28</t>
  </si>
  <si>
    <t>5.29</t>
  </si>
  <si>
    <t>5.30</t>
  </si>
  <si>
    <t>Монтаж автоматизированного рабочего места оператора видеонаблюдения (АРМ)</t>
  </si>
  <si>
    <t>6.89</t>
  </si>
  <si>
    <t>Для определения количества построенных портов FTTB считается кол-во портов
коммутаторов доступа, подключенных медным патч-кордами в ТШ к
многопарному кабелю UTP построенной ДРС.</t>
  </si>
  <si>
    <t>Строительство сетей абонентского доступа по технологии FTTb (ДРС FTTb FE -2 пары на 1 ДХ) в домах малоэтажной застройки</t>
  </si>
  <si>
    <t xml:space="preserve">
Не применяется совместно с Работами пунктов 6.3; 6.5÷ 6.7; 6.21÷6.24</t>
  </si>
  <si>
    <t xml:space="preserve">Не применяется совместно с Работами пунктов с  6.5÷6.7; 6.9÷6.15; 6.21÷ 6.24 </t>
  </si>
  <si>
    <t>Не применимо совместно с расценками пп. 4.6.÷ 4.8.</t>
  </si>
  <si>
    <t>Не применимо совместно с расценками пп. 4.6.÷4.8.</t>
  </si>
  <si>
    <t>Расценка применяется при выполнении комплекса работ по СКС на одном объекте.
Не применимо совместно с расценками 8.3.1.</t>
  </si>
  <si>
    <t>8.7.10</t>
  </si>
  <si>
    <t>5.31</t>
  </si>
  <si>
    <t>ПИР, СМР,  включая затраты на материалы, демонтаж/ вывоз существующего асфальтобетонного покрытия, получение необходимых согласований и разрешений на производство работ</t>
  </si>
  <si>
    <t>ПИР, СМР,  включая затраты на материалы, демонтаж/ вывоз существующего асфальтобетонного покрытия и бордюрного камня, получение необходимых согласований и разрешений на производство работ</t>
  </si>
  <si>
    <t xml:space="preserve">Восстановление газонного покрытия </t>
  </si>
  <si>
    <t>ПИР, СМР, включая подготовку почвы для устройства партерного и обыкновенного газона с внесением растительной земли слоем 15 см, планировку участка, посев газонов партерных, мавританских и обыкновенных.</t>
  </si>
  <si>
    <t>Применяется дополнительно к расценке 5.1; 5.3-5.4.</t>
  </si>
  <si>
    <t>ПИР, СМР весь комплекс работ, включая стоимость строительных материалов и других необходимых расходных материалов и комплектующих, транспортные издержки; Разбивка и отрывка входного и приёмного котлованов; Устройство переходов подземных методом ГНБ. Оформление исполнительной документации.</t>
  </si>
  <si>
    <t>СМР, включая и не ограничиваясь перечисленным: установка, монтаж розетки, выключателя на стену, независимо от материалов поверхности, стоимость основных (каркас, суппорт-рамка, розетка) и  крепежных материалов.</t>
  </si>
  <si>
    <t>СМР, включая и не ограничиваясь перечисленным: монтаж информационной розетки на стену, независимо от материалов поверхности, стоимость основных  (каркас, суппорт-рамка, модуль розетки) и крепежных материалов.</t>
  </si>
  <si>
    <t>Коэф.</t>
  </si>
  <si>
    <t>Комплекс</t>
  </si>
  <si>
    <t>ПИР, СМР весь комплекс работ, включая стоимость строительных материалов и других необходимых расходных материалов и комплектующих, транспортные издержки; Разбивка и отрывка входного и приёмного котлованов; Устройство переходов подземных методом ГНБ, рекультивации земель.  Оформление разрешительных документов и исполнительной документации (в том числе топографо-геодезические работы, с нанесением на городской планшет исполнительной сьёмки, землеустроительные работы).</t>
  </si>
  <si>
    <t xml:space="preserve">Топографо-геодезические работы </t>
  </si>
  <si>
    <t xml:space="preserve">Топографо-геодезические работы, включая и не ограничиваясь: создание опорных геодезических, межевых сетей для целей проведения инженерных изысканий, инвентаризации и межевания земель, кадастровых съемок, топографических съемок и иных работ; топографические съемки в масштабах 1:500, 1:5000; съемку подземных и наземных сооружений (инженерных коммуникаций).
</t>
  </si>
  <si>
    <t>5.32</t>
  </si>
  <si>
    <t>Применяется  только на работы раздела №8 "Строительство структурированных кабельных сетей (СКС)", которые выполнены в соответствующих условиях.</t>
  </si>
  <si>
    <t>Работы по демонтажу кабеля связи , в том числе и не ограничиваясь перечисленным: демонтаж кабеля связи, подготовка данного кабеля к сдаче на склад филиала (увязка однородного (одной марки) кабеля связи длинами не более чем по 2 м. в 1 пучок с маркировкой данного пучка в соответствии с маркой демонтированного однородного кабеля связи (применимо для медножильных кабелей, общий вес и количество пучков определяет Исполнитель), или намоткой на барабан (с учетом стоимости барабана), погрузкой, перевозкой, разгрузкой и взвешиванием демонтированного кабеля связи на складе филиала, его приемом-передачей на склад филиала. Оформление исполнительной документации.</t>
  </si>
  <si>
    <t>Работы по демонтажу кабеля связи , в том числе и не ограничиваясь перечисленным: демонтаж кабеля связи, подготовка данного кабеля к сдаче на склад филиала (увязка однородного (одной марки) кабеля связи строительными длинами  в 1 бухту/барабан (с учетом стоимости барабана) с маркировкой  в соответствии с маркой длиной демонтированного однородного кабеля связи, погрузкой, перевозкой, разгрузкой  демонтированного кабеля связи на складе филиала, его приемом-передачей на склад филиала. Оформление исполнительной документации.</t>
  </si>
  <si>
    <t>Комплекс работ по установке 1-го шлагбаума</t>
  </si>
  <si>
    <t>Строительно-монтажные работы</t>
  </si>
  <si>
    <t>1 шлагбаум</t>
  </si>
  <si>
    <t>Проектно-изыскательские работы по установке шлагбаума</t>
  </si>
  <si>
    <t>Выполнение работ по программированию ключа/ метки NFS</t>
  </si>
  <si>
    <t>7.16.1</t>
  </si>
  <si>
    <t>7.16.2</t>
  </si>
  <si>
    <t>7.18.1</t>
  </si>
  <si>
    <t>7.18.2</t>
  </si>
  <si>
    <t>7.18.3</t>
  </si>
  <si>
    <t>7.18.4</t>
  </si>
  <si>
    <t>7.21.1</t>
  </si>
  <si>
    <t>7.21.2</t>
  </si>
  <si>
    <t>7.21.3</t>
  </si>
  <si>
    <t>5.21.1</t>
  </si>
  <si>
    <t>5.21.2</t>
  </si>
  <si>
    <t>5.21.3</t>
  </si>
  <si>
    <t>5.33</t>
  </si>
  <si>
    <t>6.8.1</t>
  </si>
  <si>
    <t>6.8.2</t>
  </si>
  <si>
    <t>6.81</t>
  </si>
  <si>
    <t>6.82</t>
  </si>
  <si>
    <t xml:space="preserve">СМР, прокладка кабеля, включая работы по трассировке кабеля  (размотка , маркировка , замер длины , растяжка , нарезка , жгутирование), с учетом стоимости кабеля и крепежных материалов, другие сопутствующие работы. </t>
  </si>
  <si>
    <t xml:space="preserve">СМР, включая прокладку, монтаж кабеля, работы по трассировке кабеля (размотка, маркировка , замер длины , растяжка , нарезка , жгутирование), с учетом стоимости кабеля и крепежных материалов, другие сопутствующие работы. </t>
  </si>
  <si>
    <t>СМР, включая прокладку, монтаж силового кабеля, провода заземления, работы по трассировке кабеля (размотка, маркировка , замер длины , растяжка , нарезка , жгутирование), с учетом стоимости кабеля и крепежных материалов, проверку состояния изоляции кабеля до и после прокладки и другие сопутствующие работы, присоединение к зажимам жил и проводов.</t>
  </si>
  <si>
    <t>СМР, включая прокладку, монтаж, силового кабеля, провода заземления, работы по трассировке кабеля (размотка, маркировка , замер длины , растяжка , нарезка , жгутирование),  с учетом стоимости кабеля и крепежных материалов, проверку состояния изоляции кабеля до и после прокладки и другие сопутствующие работы, присоединение к зажимам жил и проводов.</t>
  </si>
  <si>
    <t>СМР , включая прокладку, монтаж силового кабеля, провода заземления (независимо от сечения и количества жил кабеля), работы по трассировке кабеля (размотка , маркировка , замер длины , растяжка , нарезка , жгутирование),  проверку состояния изоляции кабеля до и после прокладки и другие сопутствующие работы, присоединение к зажимам жил и проводов. Включает стоимость крепежных материалов, без учета стоимости кабеля.</t>
  </si>
  <si>
    <t xml:space="preserve">СМР, включая прокладку, монтаж, роботы по трассировке кабеля (размотка , маркировка , замер длины , растяжка , нарезка , жгутирование) установке разветвителей, делителей, стоимость основных и  крепежных материалов, другие сопутствующие работы. </t>
  </si>
  <si>
    <t>ПИР, СМР весь комплекс работ, включая стоимость строительных материалов и других необходимых расходных материалов и комплектующих, транспортные издержки; Разбивка и отрывка входного и приёмного котлованов; Устройство переходов подземных методом ГНБ / ГНП, рекультивации земель.  Оформление разрешительных документов и исполнительной документации (в том числе топографо-геодезические работы, с нанесением на городской планшет исполнительной сьёмки, землеустроительные работы).</t>
  </si>
  <si>
    <t>30 % от стоимости  монтажа</t>
  </si>
  <si>
    <t>ПИР, СМР, Прочие затраты (в том числе стоимость кабеля), включая строительство горизонтальных кабельных каналов/труб между подъездами, установку ШАН/КРТ и патч-панелей/плинтов, с учетом стоимости всех материалов, в том числе ШАН/КРТ и патч-панелей/плинтов, прочие, исполнительная документация.</t>
  </si>
  <si>
    <t>Не применимо совместно с расценками раздела 3; 4.2.÷4.4.</t>
  </si>
  <si>
    <t xml:space="preserve">
Не применяется совместно с п. 5.1; 5.8-5.14</t>
  </si>
  <si>
    <t>Не применимо совместно с расценкой 5.21; 5.22.</t>
  </si>
  <si>
    <t>СМР: Организация оптической абонентской линии в кабельной канализации, прокладка Drop кабеля (с учетом технологических, монтажных запасов кабеля, стоимость предтерминированного кабеля), включая прокладку и переход по участкам существующей инфраструктуры, устройство абонентского кабельного ввода в здание, защита кабеля металлическими желобами на стене, герметизация каналов, при необходимости установка оптического сплиттера (без учёта стоимости), установка абонентской оптической розетки, маркировки (бирки), проведение всех измерений ВОК, включая входной контроль кабеля, оформление исполнительной документации.</t>
  </si>
  <si>
    <t>СМР: Организация оптической абонентской линии в грунте, прокладка Drop кабеля (с учетом технологических, монтажных запасов кабеля, стоимость предтерминированного кабеля), включая прокладку и переход по участкам существующей инфраструктуры, устройство абонентского кабельного ввода в здание, защита кабеля металлическими желобами на стене, при необходимости установка оптического сплиттера (без учёта стоимости), установка абонентской оптической розетки, герметизация каналов, маркировки (бирки), проведение всех измерений ВОК, включая входной контроль кабеля, оформление исполнительной документации.</t>
  </si>
  <si>
    <t>СМР: Организация оптической абонентской линии по воздушным линиям связи (ВЛС), прокладка Drop кабеля (с учетом технологических, монтажных запасов кабеля, стоимость предтерминированного кабеля), включая прокладку и переход по участкам существующей инфраструктуре, устройство абонентского кабельного ввода в здание, защита кабеля металлическими желобами на стене, при необходимости установка оптического сплиттера (без учёта стоимости), установка абонентской оптической розетки, герметизация каналов, маркировки (бирки), проведение всех измерений ВОК, включая входной контроль кабеля, оформление исполнительной документации.</t>
  </si>
  <si>
    <t xml:space="preserve">1 шт. </t>
  </si>
  <si>
    <t>ПИР, СМР:  Включено, не ограничиваясь перечисленным:  прокладка и монтаж провода, с учетом стоимости всех материалов, прочие, оформление разрешительных документов, исполнительной документации.</t>
  </si>
  <si>
    <t>ПИР, СМР: Включено, не ограничиваясь перечисленным: прокладка и монтаж провода, труб, коробов, кабель-каналов и др., с учетом стоимости всех материалов, прочие, оформление разрешительных документов, исполнительной документации.</t>
  </si>
  <si>
    <t>СМР, сборка монтаж  бокса (щита) не укомплектованного автоматическими выключателями, независимо от материала поверхности, включая  стоимость основных и крепежных материалов.</t>
  </si>
  <si>
    <t>5.7.1</t>
  </si>
  <si>
    <t>5.7.2</t>
  </si>
  <si>
    <t>8.1.10</t>
  </si>
  <si>
    <t>8.2.10</t>
  </si>
  <si>
    <t>8.2.11</t>
  </si>
  <si>
    <t>8.2.12</t>
  </si>
  <si>
    <t>8.2.13</t>
  </si>
  <si>
    <t>8.2.14</t>
  </si>
  <si>
    <t>8.4.1</t>
  </si>
  <si>
    <t>8.4.2</t>
  </si>
  <si>
    <t>8.4.3</t>
  </si>
  <si>
    <t>8.4.8</t>
  </si>
  <si>
    <t>8.4.9</t>
  </si>
  <si>
    <t>8.4.10</t>
  </si>
  <si>
    <t>8.4.11</t>
  </si>
  <si>
    <t>8.4.12</t>
  </si>
  <si>
    <t xml:space="preserve">СМР, включая (но не ограничиваясь) , разделку и расшивка, укладка крепление  кабеля </t>
  </si>
  <si>
    <t>Расшивка и разделка медножильного кабеля на порт патч-панели/кросс-панели</t>
  </si>
  <si>
    <t>Установка и монтаж вызывной панели домофона</t>
  </si>
  <si>
    <t>Монтаж блока питания (домофон)</t>
  </si>
  <si>
    <t>Комплекс работ по монтажу систем  домофонии (ЗУ)</t>
  </si>
  <si>
    <t xml:space="preserve">1 км трассы кабеля </t>
  </si>
  <si>
    <t>Основная расценка при организации  услуг в Комплексных Новостройках</t>
  </si>
  <si>
    <t>Установка и подключение  электромагнитного замка, с кнопкой аварийного выхода.</t>
  </si>
  <si>
    <t>6.91</t>
  </si>
  <si>
    <t xml:space="preserve">1 м  </t>
  </si>
  <si>
    <t xml:space="preserve">1 м </t>
  </si>
  <si>
    <t>ПИР, СМР, Прочие затраты, вертикальных (стояки)  с учетом стоимости труб крепежа, установки проходных коробок, сопутствующих СМР, в том числе пробивка/сверление отверстий, герметизация (включая стоимость материалов), прочие, исполнительная документация.</t>
  </si>
  <si>
    <t>СМР, ПИР, прочие затраты, не ограничиваясь перечисленным: монтаж стальной трубы для трубостойки диаметром 60 мм (включая стоимость металлической трубы и расходных материалов), в том числе пробивка/сверление отверстий, герметизация.</t>
  </si>
  <si>
    <t xml:space="preserve">
Не применяется совместно с Работами раздела с 1÷2, по установке оборудования входящего в состав стоимости порта.</t>
  </si>
  <si>
    <t xml:space="preserve">ПИР, СМР, Работы по монтажу муфты прямой/разветлительной на медном кабеле, в том числе и не ограничиваясь перечисленным: соединение и герметизация по технологиям 3М или ТайкоРайхем,  измерения и прозвонка кабеля во время монтажа, комплекс всех измерений смонтированных пар, включая стоимость основных и вспомогательных материалов. </t>
  </si>
  <si>
    <t>для деревянных опор, пропитанных антисептиком</t>
  </si>
  <si>
    <t>6.77.1</t>
  </si>
  <si>
    <t>6.77.2</t>
  </si>
  <si>
    <t>монтаж светофора (шлагбаум)</t>
  </si>
  <si>
    <t>Монтаж обогревателя с термостатом (шлагбаум)</t>
  </si>
  <si>
    <t>Монтаж индукционной петли</t>
  </si>
  <si>
    <t>6.77.3</t>
  </si>
  <si>
    <t>6.77.4</t>
  </si>
  <si>
    <t>6.77.5</t>
  </si>
  <si>
    <t>Подключение инженерных систем СКУД к контроллеру, программирование, настройка</t>
  </si>
  <si>
    <t>6.116</t>
  </si>
  <si>
    <t>6.117</t>
  </si>
  <si>
    <t>6.118</t>
  </si>
  <si>
    <t>Допускается применение расценки для объектов Новостройки, с потребностью от Коммерческого блока в  ДРС FTTb GE-4 пары на 1 ДХ под 100% проникновение</t>
  </si>
  <si>
    <t>- для Домохозяйств, охваченных по технологии FTTB с проникновением до 50% включительно, с применением минимального шага проникновения 5%</t>
  </si>
  <si>
    <t>- для Домохозяйств, охваченных по технологии FTTB с проникновением выше 50%,  с применением минимального шага проникновения 5%</t>
  </si>
  <si>
    <t>- для Домохозяйств, охваченных по технологии FTTB с проникновением до 50% включительно,  с применением минимального шага проникновения 5%</t>
  </si>
  <si>
    <t>- для Домохозяйств, охваченных по технологии FTTB с проникновением от 50 % до 80% включительно, с применением минимального шага проникновения 5%</t>
  </si>
  <si>
    <t>- для Домохозяйств, охваченных по технологии FTTB с проникновением выше 80 %,  с применением минимального шага проникновения 5%</t>
  </si>
  <si>
    <t xml:space="preserve">комплекс </t>
  </si>
  <si>
    <t xml:space="preserve">Комплекс               (система) </t>
  </si>
  <si>
    <t>1 светофор</t>
  </si>
  <si>
    <t>3.4.3</t>
  </si>
  <si>
    <t>3.4.4</t>
  </si>
  <si>
    <t>3.4.5</t>
  </si>
  <si>
    <t>3.4.6</t>
  </si>
  <si>
    <t>3.4.7</t>
  </si>
  <si>
    <t>3.4.8</t>
  </si>
  <si>
    <t>Строительство слаботочного кабельного стояка в подъезде с установкой проходных коробок</t>
  </si>
  <si>
    <t>Протяженность по работам, указанным в пп. 4.2-4.3 учитывается  по оптической длине трассы;</t>
  </si>
  <si>
    <t>Расценки раздела 7 с ед. измерения - "за один комплект" содержат работы целиком за пролет;</t>
  </si>
  <si>
    <t>Расценка раздела 8.5.4.при использовании на одном объекте, применяется с понижающим коэффициентом (информация в примечании);</t>
  </si>
  <si>
    <t>Демонтаж антенны РРС, оборудования БШПД</t>
  </si>
  <si>
    <t>Применяется дополнительно к расценке 7.18. Включает: ПИР, СМР, включая строительство контура заземления, организация  ГШЗ и ее соединение с контуром заземления, с учетом материалов. Проведение измерения сопротивления заземляющего устройства.</t>
  </si>
  <si>
    <t>ПИР, СМР, прочие затраты, не ограничиваясь перечисленным: получение всех разрешений и согласований, в т.ч., но не ограничиваясь: ордер ОАТИ на производство работ, проект реорганизации дорожного движения на время строительства. Вскрытие, восстановление покрытия (асфальт, брусчатка, газон, проч.), подъём горловины колодца, монтаж опорного кольца.</t>
  </si>
  <si>
    <t>Раздел 4. Прокладка и монтаж кабельных линий связи (в т.ч. магистральных), доумощнение ранее построенных сетей связи</t>
  </si>
  <si>
    <t>Раздел 5. Инфраструктура (Строительство ЛКСС)</t>
  </si>
  <si>
    <t xml:space="preserve">Установка и монтаж сплиттера 2-го каскада (УСМ) </t>
  </si>
  <si>
    <t>Установка клиентского оборудования</t>
  </si>
  <si>
    <t>3.7</t>
  </si>
  <si>
    <t>Расценка используется только в период строительства.</t>
  </si>
  <si>
    <t>Стоимость сплиттера 2-го каскада (УСМ) не входит в расценку  строительства объектов в сегменте Стандартная застройка,  Новостройка, Малоэтажная застройка, но должна быть учтена в ТЭО проектов.</t>
  </si>
  <si>
    <t>ПИР,  СМР, прочие затраты, не ограничиваясь перечисленным: включая стоимость основных материалов, доставку, подготовку заготовки,  земельные работы по раскопке и засыпке ямы с послойным трамбованием грунта, бетонирование, установку дополнительной ригели, замена ростверки. Оформление разрешительных документов и исполнительной документации.  Выполнение топографо-геодезических работ при предъявлении требования от Заказчика.</t>
  </si>
  <si>
    <t>Замена и монтаж вызывной панели домофона, с переустройством  посадочного места</t>
  </si>
  <si>
    <t>6.62.1</t>
  </si>
  <si>
    <t>6.62.2</t>
  </si>
  <si>
    <t>6.62.3</t>
  </si>
  <si>
    <t>Установка  подключение абонентских устройств в квартире</t>
  </si>
  <si>
    <t>Установка, подключение, настройка аудиотрубки в квартире абонента (с учетом стоимости оборудования)</t>
  </si>
  <si>
    <t xml:space="preserve">ПИР, СМР, Работы по монтажу муфты на волоконно-оптическом кабеле(ях) в независимости от типа кабеля(ей) и муфт, в том числе и не ограничиваясь перечисленным:  подготовительные работы, разделка-зачистка защитных оболочек кабеля и волокон, крепление силовых элементов, термоусадка/фиксация, герметизация, сварка волокон, термоусадка КДЗС, укладка  в кассету(ы), сборка герметизация муфты, закрепление на определенном месте, включая стоимость основных и расходных материалов, аксессуаров, транспортные и все прочие расходы. Паспортизация (не ограничиваясь перечисленным: в электронном виде, Excel-формат для рефлектограмм, протоколы, схемы разварки). </t>
  </si>
  <si>
    <t>до 24 ОВ включительно (соединений)</t>
  </si>
  <si>
    <t>до 48 ОВ включительно (соединений)</t>
  </si>
  <si>
    <t>до 144 ОВ включительно (соединений)</t>
  </si>
  <si>
    <t>до 288 ОВ включительно (соединений)</t>
  </si>
  <si>
    <t>Основная расценка при организации абонентской линии от этажного разветвителя КТВ  в ДХ абонента!</t>
  </si>
  <si>
    <t xml:space="preserve">Монтаж муфты на волоконно-оптическом кабеле </t>
  </si>
  <si>
    <t>до 96 ОВ включительно (соединений)</t>
  </si>
  <si>
    <t>4.1.7</t>
  </si>
  <si>
    <t>4.1.8</t>
  </si>
  <si>
    <t>4.10.1</t>
  </si>
  <si>
    <t>4.10.2</t>
  </si>
  <si>
    <t>4.10.3</t>
  </si>
  <si>
    <t>4.10.4</t>
  </si>
  <si>
    <t>4.10.5</t>
  </si>
  <si>
    <t>4.10.6</t>
  </si>
  <si>
    <t>4.10.7</t>
  </si>
  <si>
    <t>4.10.8</t>
  </si>
  <si>
    <t>4.10.9</t>
  </si>
  <si>
    <t>4.10.10</t>
  </si>
  <si>
    <t>4.12</t>
  </si>
  <si>
    <t>4.14</t>
  </si>
  <si>
    <t>4.14.1</t>
  </si>
  <si>
    <t>4.14.2</t>
  </si>
  <si>
    <t>4.14.3</t>
  </si>
  <si>
    <t>4.14.3.1</t>
  </si>
  <si>
    <t>4.14.3.2</t>
  </si>
  <si>
    <t>4.14.3.3</t>
  </si>
  <si>
    <t>4.14.4</t>
  </si>
  <si>
    <t>4.14.4.1</t>
  </si>
  <si>
    <t>4.14.4.2</t>
  </si>
  <si>
    <t>4.14.4.3</t>
  </si>
  <si>
    <t>4.14.5</t>
  </si>
  <si>
    <t>4.14.5.1</t>
  </si>
  <si>
    <t>4.14.5.2</t>
  </si>
  <si>
    <t>4.14.5.3</t>
  </si>
  <si>
    <t>Применение расценки возможно совместно с Работами пунктов с  4.3÷4.4;  4.7÷ 4.9; 5.1÷ 5.6. по согласованию с Заказчиком работ</t>
  </si>
  <si>
    <t>Применяется  на существующих кабельных линиях, при переключении, восстановлении.  Применимо совместно с расценками пп. 4.7.÷ 4.9, при монтаже более 1  муфты на 0,5 км. строящейся трассы.</t>
  </si>
  <si>
    <t>Перемонтаж/ремонт существующей муфты на волоконно- оптическом кабеле связи</t>
  </si>
  <si>
    <t>Не применимо совместно с Работами раздела/пунктов 1; 4.7 ÷ 4.9; 6.1÷6.3 включительно</t>
  </si>
  <si>
    <t>4.1.9</t>
  </si>
  <si>
    <t>4.1.10</t>
  </si>
  <si>
    <t>8.8.1</t>
  </si>
  <si>
    <t>8.8.2</t>
  </si>
  <si>
    <t>8.8.3</t>
  </si>
  <si>
    <t>8.8.4</t>
  </si>
  <si>
    <t>8.8.5</t>
  </si>
  <si>
    <t>8.8.6</t>
  </si>
  <si>
    <t>8.8.7</t>
  </si>
  <si>
    <t>8.8.8</t>
  </si>
  <si>
    <t xml:space="preserve">СМР: установка/подключение, настройка, телефонного аппарата. С учетом стоимости работ, стоимости крепежных  материалов и патч-корда. </t>
  </si>
  <si>
    <t>Настройка и тестирование АРМ  учитываются пунктом 8.8.5</t>
  </si>
  <si>
    <t>Не применяется совместно с пунктом 8.8.1</t>
  </si>
  <si>
    <t xml:space="preserve">Расценка применяется единоразово в Заказе на удаленный объект строительства по согласованию с Заказчиком работ и подтверждается Актом передачи оборудования в монтаж и Актом/Ведомостью смонтированного оборудования на объекте строительства </t>
  </si>
  <si>
    <t xml:space="preserve">Включает компенсацию затрат на логистические издержки при транспортировки  оборудования  Заказчика, передаваемого в монтаж по форме ОС-15 на объект строительства, удаленного от склада Заказчика на расстоянии от 50 до 100 км, включительно. Расстояние удаленности определяется составлением наикратчайшего маршрута по дорогам общего пользования, в системе/службе "Яндекс. Карты". </t>
  </si>
  <si>
    <t>Компенсация логистических затрат на транспортировку оборудования,  при строительстве объекта на удаленности  от 50 км до 100 км включительно, от склада Заказчика.</t>
  </si>
  <si>
    <t>Компенсация логистических затрат на транспортировку оборудования,  при строительстве объекта на удаленности  от 101 км до 200 км включительно, от склада Заказчика.</t>
  </si>
  <si>
    <t xml:space="preserve">Включает компенсацию затрат на логистические издержки при транспортировки  оборудования  Заказчика, передаваемого в монтаж по форме ОС-15 на объект строительства, удаленного от склада Заказчика на расстоянии от 101 до 200 км, включительно. Расстояние удаленности определяется составлением наикратчайшего маршрута по дорогам общего пользования, в системе/службе "Яндекс. Карты". </t>
  </si>
  <si>
    <t>Компенсация логистических затрат на транспортировку оборудования,  при строительстве объекта на удаленности  от 201 км до 300 км включительно, от склада Заказчика.</t>
  </si>
  <si>
    <t xml:space="preserve">Включает компенсацию затрат на логистические издержки при транспортировки  оборудования  Заказчика, передаваемого в монтаж по форме ОС-15 на объект строительства, удаленного от склада Заказчика на расстоянии от 201 до 300 км, включительно. Расстояние удаленности определяется составлением наикратчайшего маршрута по дорогам общего пользования, в системе/службе "Яндекс. Карты". </t>
  </si>
  <si>
    <t>Компенсация логистических затрат на транспортировку оборудования,  при строительстве объекта на удаленности свыше 301  км от склада Заказчика.</t>
  </si>
  <si>
    <t xml:space="preserve">Включает компенсацию затрат на логистические издержки при транспортировки  оборудования  Заказчика, передаваемого в монтаж по форме ОС-15 на объект строительства, удаленного от склада Заказчика на расстоянии свыше 301 км, включительно. Расстояние удаленности определяется составлением наикратчайшего маршрута по дорогам общего пользования, в системе/службе "Яндекс. Карты". </t>
  </si>
  <si>
    <t>для стальных опор</t>
  </si>
  <si>
    <t>для композитных опор</t>
  </si>
  <si>
    <t>5.21.4</t>
  </si>
  <si>
    <t>Применяется при разовых работах.
Не применяется для сверления стен. Не применяется с Работами 6.4-6.5.</t>
  </si>
  <si>
    <t>Применяется при демонтаже оборудования. Не применяется с Работами 6.61.2.</t>
  </si>
  <si>
    <t>Раздел 1. Новое строительство сетей ШПД по технологии FTTb</t>
  </si>
  <si>
    <t xml:space="preserve">Раздел 2. Новое строительство сетей ШПД  по технологии GPON </t>
  </si>
  <si>
    <t>Раздел 3. Новое строительство сетей ШПД по технологии  FTTН  (GPON) в коттеджных посёлках</t>
  </si>
  <si>
    <t xml:space="preserve">Восстановление поврежденного канала кабельной канализации </t>
  </si>
  <si>
    <t>Расценка применяется при разработке грунта и полноценном восстановлении каналов кабельной канализации</t>
  </si>
  <si>
    <t>6.60.1</t>
  </si>
  <si>
    <t>6.60.2</t>
  </si>
  <si>
    <t>6.60.3</t>
  </si>
  <si>
    <t>6.60.4</t>
  </si>
  <si>
    <t>6.60.5</t>
  </si>
  <si>
    <t>6.60.6</t>
  </si>
  <si>
    <t>6.60.7</t>
  </si>
  <si>
    <t>6.60.8</t>
  </si>
  <si>
    <t>6.60.9</t>
  </si>
  <si>
    <t>6.61.</t>
  </si>
  <si>
    <t xml:space="preserve">Устройство кабельного вывода на стену из кабельной трассы </t>
  </si>
  <si>
    <t>5.34</t>
  </si>
  <si>
    <t xml:space="preserve">Применяется дополнительно к расценкам № 5.30; 5.33;
в случае превышения 50 м. прокладки кабеля в грунте. 
Применяется  отдельно  если требуется только работы по монтажу кабеля в грунте
</t>
  </si>
  <si>
    <t>Не применяется совместно с Работами пунктов  3.1÷ 3.3; 4.3÷4.4;  4.7÷ 4.9; 5.1÷ 5.13; 5.21-5.22; 5.24-5.26; 5.30; 5.33; 6.113</t>
  </si>
  <si>
    <t>Обновление программного обеспечения коммутатора/голосового шлюза, выполнение ПНР</t>
  </si>
  <si>
    <t>для деревянных / стальных/ композитных опор</t>
  </si>
  <si>
    <t>5.28.1</t>
  </si>
  <si>
    <t>5.28.2</t>
  </si>
  <si>
    <t>ПИР, СМР, включая затраты на устройство покрытий и материалы для устройства подстилающих и выравнивающих слоев, для укладки демонтированной брусчатки.</t>
  </si>
  <si>
    <t>Протяженность по работам, указанным в пп. 4.2-4.3; 4.7-4.9  учитывается  по общей протяженности кабельной линии в Заказе;</t>
  </si>
  <si>
    <t>Монтаж модуля сопряжения LORA/NB-IoT</t>
  </si>
  <si>
    <t xml:space="preserve">для ж/б опор </t>
  </si>
  <si>
    <t>ПИР, СМР, включая и не ограничиваясь: стоимость опоры, пристав, подпор, укосин, вспомогательных материалов, доставки и развозки по трассе монтажа; стоимость демонтажа старой опоры (при необходимости), работа бурильно-крановой машины по установке опор длиной до 11,5 метров, работ по переподвесу существующих кабельных линий на новую, транспортировка демонтированных опор на свалку или на склад  Заказчика.  Оформление разрешительных документов и исполнительной документации. Выполнение топографо-геодезических работ при предъявлении требования от Заказчика.</t>
  </si>
  <si>
    <t>6.61.1</t>
  </si>
  <si>
    <t>СМР: Программирование ключа/метки NFS</t>
  </si>
  <si>
    <t>Выполнение работ по программированию ключа</t>
  </si>
  <si>
    <t>СМР: Программирование ключа, включая стоимость ключа соответствующего техническим требованиям Заказчика.</t>
  </si>
  <si>
    <t xml:space="preserve">1 точка </t>
  </si>
  <si>
    <t xml:space="preserve">Проведение радиоразведки/радиообследования, снятие замеров приема-передачи, определение места размещения БС телеметрии по одному адресу, составление отчета. </t>
  </si>
  <si>
    <t>Отчет</t>
  </si>
  <si>
    <t>Расценка применяется по требованию и предварительному согласованию с Заказчиком работ</t>
  </si>
  <si>
    <t>Монтаж блока коммутации / конвертера/ концентратора (ПУ телеметрия)</t>
  </si>
  <si>
    <t>1 шт.
(прибор)</t>
  </si>
  <si>
    <t>Монтаж малогабаритного шкафа под домофон, ЗУ, ВН, точку доступа</t>
  </si>
  <si>
    <t>Монтаж щита с подготовкой под установку приборов учёта (АСУКЭ)</t>
  </si>
  <si>
    <t>Разработка технического решения на адресе проведения технического Аудита АСКУЭ переходящего объекта на обслуживание</t>
  </si>
  <si>
    <t xml:space="preserve">Разработка технического решения для обслуживания переходящего объекта в МКД и их передача в согласованном виде.
В состав технического решения входит:
•  Обследование объекта
• Спецификация оборудования и материалов
• Структурная схема подключения приборов учета к оборудованию телеметрии
• Пояснительная записка, содержащая всю необходимую информацию о принципах построения системы, прокладки кабельных линий связи, местах установки оборудования, определение текущих настроек оборудования и приборов учета, проверка работоспособности и другие необходимые сведения по требованию Заказчика работ
• Объёмная ведомость требуемых работ для составления ТКП  </t>
  </si>
  <si>
    <t xml:space="preserve">ВОК   ёмкостью до 8 ОВ включительно </t>
  </si>
  <si>
    <t>ВОК ёмкостью более  32 до 48 волокон включительно</t>
  </si>
  <si>
    <t>3.1.4</t>
  </si>
  <si>
    <t>3.1.5</t>
  </si>
  <si>
    <t>3.2.4</t>
  </si>
  <si>
    <t>3.2.7</t>
  </si>
  <si>
    <t>3.3.4</t>
  </si>
  <si>
    <t>3.3.5</t>
  </si>
  <si>
    <t>Включает оплату счетов за выдачу Технических Условий, согласований Проектных решений, визирование актов и прочей документации. Подтверждается предоставлением договора, счетов, п/п и актов оказанных услуг. Затраты компенсируются в рамках данного пункта по действующим тарифам сторонних собственников коммуникаций: Газопроводы, Теплотрассы, Железные дороги, Автомобильные дороги федерального значения, Мосты и Путепроводы, объекты Электросетевого хозяйства, ЛКС</t>
  </si>
  <si>
    <t>ВОК ёмкостью более 96 до 144 волокон включительно</t>
  </si>
  <si>
    <t>5.0.1</t>
  </si>
  <si>
    <t>5.8.01</t>
  </si>
  <si>
    <t xml:space="preserve">ПИР, СМР, включая: стоимость колодца ККС-1, люка, ж/б опорных колец, разработка грунта, гидроизоляция; вспомогательные материалы, включая транспортные издержки; восстановление зелёных зон, проезжей части и пешеходных дорожек; Оформление разрешительных документов и исполнительной документации. </t>
  </si>
  <si>
    <t>6.27.1</t>
  </si>
  <si>
    <t>6.27.2</t>
  </si>
  <si>
    <t>6.27.2.1</t>
  </si>
  <si>
    <t>6.27.2.2</t>
  </si>
  <si>
    <t>6.27.2.3</t>
  </si>
  <si>
    <t>6.27.2.4</t>
  </si>
  <si>
    <t>6.27.2.5</t>
  </si>
  <si>
    <t>6.27.2.6</t>
  </si>
  <si>
    <t>в том числе стоимость кабеля, основных материалов (с учётом ТЗР)</t>
  </si>
  <si>
    <t>6.39.1</t>
  </si>
  <si>
    <t>6.41.1</t>
  </si>
  <si>
    <t>6.43.1</t>
  </si>
  <si>
    <t>6.45.1</t>
  </si>
  <si>
    <t>6.77.6</t>
  </si>
  <si>
    <t>Применяется по согласованию с Заказчиком работ при монтаже свыше 2-х столбиков с расценкой 6.77.2</t>
  </si>
  <si>
    <t>Установка доводчика (дверь)</t>
  </si>
  <si>
    <t>6.60.8.1</t>
  </si>
  <si>
    <t>СМР, ПИР, прочие, не  ограничиваясь перечисленным (включая стоимость крепежных материалов): Установка и монтаж доводчика. Оформление исполнительной документации.</t>
  </si>
  <si>
    <t>Исключить стоимость основных материалов , при давальческой схеме взаимодействия.</t>
  </si>
  <si>
    <t>Раздел 8. Строительство структурированных кабельных сетей (СКС) (Комплекс работ на одном объекте по организации АРМ)</t>
  </si>
  <si>
    <t>6.60.01</t>
  </si>
  <si>
    <t>отчет</t>
  </si>
  <si>
    <t>ПИР, СМР, Прочие затраты, не ограничиваясь перечисленным: Разработка грунта, прокладка ПНД трубы в грунт, засыпка, трамбовка, с учетом стоимости материалов, с восстановлением благоустройства.</t>
  </si>
  <si>
    <t>Организация телеметрии</t>
  </si>
  <si>
    <t>Проведение технического аудита, оценка состояния работоспособности существующей распределительной сети, видеодомофонной системы объекта, переходящего на обслуживание</t>
  </si>
  <si>
    <t>ПИР, СМР по монтажу БС выполняется по расценкам позиций 6.63-6.64</t>
  </si>
  <si>
    <t>6.83.1</t>
  </si>
  <si>
    <t>6.83.2</t>
  </si>
  <si>
    <t>6.83.3</t>
  </si>
  <si>
    <t>6.83.4</t>
  </si>
  <si>
    <t>6.88.1</t>
  </si>
  <si>
    <t>6.88.2</t>
  </si>
  <si>
    <t>6.60.8.2</t>
  </si>
  <si>
    <t>Монтаж  дополнительного столбика под фотоэлемент</t>
  </si>
  <si>
    <t xml:space="preserve">Применяется по согласованию с Заказчиком работ </t>
  </si>
  <si>
    <t>6.107.1</t>
  </si>
  <si>
    <t>Монтаж трубостоек на крыше здания для организации  воздушно-кабельных переходов/монтаж мачты</t>
  </si>
  <si>
    <t xml:space="preserve">ПИР, СМР, обследование конструкций, не ограничиваясь перечисленным (включая стоимость материалов, конструкций, трубостойки/мачты): разборка покрытия кровли, крепление трубостойки, оттяжек (при необходимости) к существующим конструкциям здания, антикоррозионная обработка конструкций, гидроизоляция кровли, восстановление покрытия кровли. Оформление  разрешительных документов и исполнительной документации.   </t>
  </si>
  <si>
    <t>6.94.1</t>
  </si>
  <si>
    <t>6.94.5</t>
  </si>
  <si>
    <t>6.94.2</t>
  </si>
  <si>
    <t>6.94.3</t>
  </si>
  <si>
    <t>6.94.4</t>
  </si>
  <si>
    <t>Расчёт радиопокрытия: Позиция предусматривает подготовку технического решения по строительству сети Wi-Fi.
Техническое решение разрабатывается с применением аппаратно - программного комплексов (EKAHAU SITE SURVEY, TAMOGRAPH SITE SURVEY и т.п.), результатом разработки является проект PDF и программный файл в формате EKAHAU SITE SURVEY/ TAMOGRAPH). 
Разработка решений по оптимизации сети: проведение радиоизмерений с применением аппаратно - программного комплексов (EKAHAU SITE SURVEY, TAMOGRAPH SITE SURVEY и т.п.), результатом является отчёт с рекомендациями по улучшению показателей существующей сети, а так же проект PDF в действующей и планируемой сети, программный файл в формате EKAHAU SITE SURVEY/ TAMOGRAPH). По требованию Заказчика работ, состав работ может быть дополнен необходимым пунктом.</t>
  </si>
  <si>
    <t>СМР, предусматривает покраску/покрытие (при необходимости)  точки доступа, РРС, видеокамеры краской (в случае РРС и точки доступа красящий материал должен быть радиопрозрачный). Цвет согласовывается с заказчиком. Включая стоимость краски и всех материалов.</t>
  </si>
  <si>
    <t>Установка блока/модуля  сопряжения (домофон /видеодомофон)</t>
  </si>
  <si>
    <t xml:space="preserve">СМР, ПИР,  не ограничиваясь перечисленным; установка и монтаж блока/модуля сопряжения (включая крепежные материалы и изделия).  Оформление разрешительных документов, исполнительной документации. Без стоимости оборудования. </t>
  </si>
  <si>
    <t xml:space="preserve">СМР, предусматривает монтаж нестандартного/некомплектного/нетипового кронштейна под монтаж  точки доступа, РРС, видеокамеры. В состав работ включает монтаж, стоимость кронштейна приобретение/изготовление, монтажные материалы. </t>
  </si>
  <si>
    <t>6.94.6</t>
  </si>
  <si>
    <t>6.94.7</t>
  </si>
  <si>
    <t>6.83.5</t>
  </si>
  <si>
    <t>1 м.</t>
  </si>
  <si>
    <t>6.94.8</t>
  </si>
  <si>
    <t xml:space="preserve">Позиция предусматривает  подготовку карты покрытия по выбору точки размещения БС (базовой станции) телеметрии, по средствам программного обеспечения RadioMobile/ICS Telecom/аналог (без организации выезда на объект). Подготовка отчета с приложением карт-зон покрытия БС. По требованию Заказчика работ, состав работ может быть дополнен/уточнен  необходимым пунктом/требованием.
</t>
  </si>
  <si>
    <t>Не применимо совместно с расценкой 5.24; 5.25; 5.29-5.33.</t>
  </si>
  <si>
    <t>ПИР, СМР, прочие, не ограничиваясь перечисленным: Установка розетки (220В) на DIN-рейку с заземлением контактов, расключение, проверка, включая стоимость материалов и розетки. Оформление исполнительной документации.</t>
  </si>
  <si>
    <t>ВОК ёмкостью более  16 до 32 волокон включительно</t>
  </si>
  <si>
    <t>ВОК ёмкостью более   48 волокон</t>
  </si>
  <si>
    <t>Отчёт о выполнении предпроектных работ  (включая ситуационный план, схему прокладки кабельной линии/ трассы РРЛ перечень объемов и стоимости работ, место размещения оборудования), включая определение собственника земельного участка, перечня согласующих необходимых согласующих организаций.</t>
  </si>
  <si>
    <t>Разработка схемы организации связи</t>
  </si>
  <si>
    <t>схема</t>
  </si>
  <si>
    <t xml:space="preserve">Включая и не ограничиваясь: Разработка схемы организации связи, синхронизации, управления, служебной связи, схемы переключения и переноса оборудования. Согласование с Заказчиком и заинтересованными организациями. </t>
  </si>
  <si>
    <t>4.1.11</t>
  </si>
  <si>
    <t>ёмкостью 10 пар (жила 0,4)</t>
  </si>
  <si>
    <t>ёмкостью 20 пар (жила 0,4)</t>
  </si>
  <si>
    <t>ёмкостью 30 пар (жила 0,4)</t>
  </si>
  <si>
    <t>ёмкостью 300 пар (жила 0,4)</t>
  </si>
  <si>
    <t>ёмкостью более 400 пар до 600 пар (жила 0,4)</t>
  </si>
  <si>
    <t>ёмкостью 300 пар (жила 0,5)</t>
  </si>
  <si>
    <t>ёмкостью 600 пар (жила 0,5)</t>
  </si>
  <si>
    <t>ёмкостью 100 пар (жила 0,7)</t>
  </si>
  <si>
    <t>4.7.10</t>
  </si>
  <si>
    <t>4.7.11</t>
  </si>
  <si>
    <t>4.7.12</t>
  </si>
  <si>
    <t>4.7.13</t>
  </si>
  <si>
    <t>4.7.14</t>
  </si>
  <si>
    <t>4.7.15</t>
  </si>
  <si>
    <t>4.7.16</t>
  </si>
  <si>
    <t>4.7.17</t>
  </si>
  <si>
    <t>4.7.18</t>
  </si>
  <si>
    <t>4.7.19</t>
  </si>
  <si>
    <t>4.7.20</t>
  </si>
  <si>
    <t>4.7.21</t>
  </si>
  <si>
    <t>4.8.10</t>
  </si>
  <si>
    <t>4.8.11</t>
  </si>
  <si>
    <t>4.8.12</t>
  </si>
  <si>
    <t>4.8.13</t>
  </si>
  <si>
    <t>4.8.14</t>
  </si>
  <si>
    <t>4.8.15</t>
  </si>
  <si>
    <t>4.8.16</t>
  </si>
  <si>
    <t>4.8.17</t>
  </si>
  <si>
    <t>4.8.18</t>
  </si>
  <si>
    <t>4.8.19</t>
  </si>
  <si>
    <t>4.8.20</t>
  </si>
  <si>
    <t>4.8.21</t>
  </si>
  <si>
    <t>4.9.10</t>
  </si>
  <si>
    <t>4.9.11</t>
  </si>
  <si>
    <t>4.9.12</t>
  </si>
  <si>
    <t>4.9.13</t>
  </si>
  <si>
    <t>4.9.14</t>
  </si>
  <si>
    <t>4.9.15</t>
  </si>
  <si>
    <t>4.9.16</t>
  </si>
  <si>
    <t>4.9.17</t>
  </si>
  <si>
    <t>4.9.18</t>
  </si>
  <si>
    <t>4.9.19</t>
  </si>
  <si>
    <t>4.9.20</t>
  </si>
  <si>
    <t>4.9.21</t>
  </si>
  <si>
    <t>Настройка коммутатора видеонаблюдение/контроль доступа/ беспроводной доступ</t>
  </si>
  <si>
    <t>ПИР, СМР, установка, настройка станции, подключение электропитания, АКБ, заземление,  монтаж счётчика электрической энергии, телеметрического контроллера и другого сопутствующего оборудования, установка автоматов, рубильника, дин-рейки, включение в транспортную сеть, монтаж кросса, разделка и подключение станционных кабелей на кросс (емкость номеров). Включая стоимость  материалов, оформление разрешительных документов с собственником здания на размещение оборудования.</t>
  </si>
  <si>
    <t>Пуско-наладочные работы приборов учета (ПУ) (проводное решение)</t>
  </si>
  <si>
    <t>Пуско-наладочные работы приборов учета (ПУ) (беспроводное решение)</t>
  </si>
  <si>
    <t>6.88.3</t>
  </si>
  <si>
    <t xml:space="preserve"> ПНР, не ограничиваясь перечисленным:
• Визуальный осмотр
• Формирование/уточнение плана и оформление реестра установленных  счетчиков по квартирам, ВРУ, ГРЩ и т.д., передача данных для занесения НСИ в базу данных, для автоматизированного сбора данных с компонентов системы учета. 
• Настройка беспроводных счетчиков импульсов-регистраторов, радиомодемов и т.д.
• Проверка наличия радиопокрытия БС в точке установки счетчика импульсов-регистраторов (при необходимости). 
•  Комплексная проверка работоспособности системы (поступление показаний).
• Оформление результатов испытаний</t>
  </si>
  <si>
    <t>Подключение, переключение, замена, настройка аудиотрубки в квартире абонента при переходящем на обслуживание по домофонии доме/новом строительстве (без учета стоимости оборудования)</t>
  </si>
  <si>
    <t>Компенсация затрат на оплату счетов Подрядчиком от лица Заказчика  за выдачу Технических Условий и согласований проектных решений при пересечении коммуникаций сторонних собственников  и прохождении по ним:  Газопроводы, Теплотрассы, Железные дороги, Автомобильные дороги федерального значения, Мосты и Путепроводы, объекты Электросетевого хозяйства, ЛКС.</t>
  </si>
  <si>
    <t>ПИР, СМР, включая стоимость материалов ( полиэтиленовые трубы диаметром не менее 63 мм, комплектующие), организацию вывода из кабельного колодца, герметизация, восстановление асфальтобетонных покрытий проезжей части, тротуаров и работ по благоустройству, оформление разрешительных документов и исполнительной документации (в том числе с нанесением на городской планшет исполнительной сьемки). Заказ и оплата топосъемок.</t>
  </si>
  <si>
    <t xml:space="preserve">ПИР, СМР, не ограничиваясь перечисленным: разработка грунта около фундамента, разборка/восстановление отмостки, установка трубы (ТВВК/аналог) в соответствии с проектными данными. Оформление  разрешительных документов и исполнительной документации.   </t>
  </si>
  <si>
    <t>Монтаж контроллера/ККМ (домофон)/СКУД</t>
  </si>
  <si>
    <t>Установка и монтаж кнопки выхода/считывателя /СКУД</t>
  </si>
  <si>
    <t>Монтаж уличной стойки для считывателя, установка кнопки выхода/считывателя (домофон)/СКУД</t>
  </si>
  <si>
    <t>Подключение, переключение, настройка абонентского видеодомофона при переходящем на обслуживание по домофонии доме/новом строительстве (без учета стоимости оборудования)</t>
  </si>
  <si>
    <t>Не применяется совместно с Работами  п.п 6.60.5</t>
  </si>
  <si>
    <t>Прокладка и монтаж кабеля  типа  UTP/КПЛК(аналог),  внутри лифтовой камеры в шахте лифта</t>
  </si>
  <si>
    <t>Монтаж Ethernet-реле (шлагбаум)</t>
  </si>
  <si>
    <t>Расценка применяется по письменному требованию и предварительному согласованию с Заказчиком работ</t>
  </si>
  <si>
    <t>Проведение технического аудита, оценка состояния работоспособности существующей распределительной сети, видеодомофонной системы объекта, переходящего на обслуживание. Включая и не ограничиваясь, выезд на объект, составление схем прокладки расключения линий/устройств, проведение необходимых измерений, составление отчета (чек лист от Заказчика)/фотоматериалов на 1 объект. По требованию Заказчика работ, состав работ может быть дополнен необходимым пунктом.</t>
  </si>
  <si>
    <t>ПИР, СМР, с учётом стоимости кабеля и всех материалов для наружных и внутренних работ, в том числе и не ограничиваясь перечисленным: монтаж/ расключение, установка муфт/кроссов (при необходимости), организация ввода/вывода, стоимость кабельных изделий, крепежной арматуры, элементы защиты кабеля в местах перехода, проведение  всех измерений, электромонтажные работы, входной контроль кабеля. Оформление разрешительных документов и исполнительной документации. Прокладка кабеля учитывается в протяженности трассы (с учетом согласованного запаса Заказчиком работ).</t>
  </si>
  <si>
    <t>Сборка и монтаж антенны для эфирного TV (внешняя)</t>
  </si>
  <si>
    <t>Монтаж шкафа, стойки 19"</t>
  </si>
  <si>
    <t>Применяется в проектах по высвобождению Зданий/помещений</t>
  </si>
  <si>
    <t>Позиция применяется с использованием шагового коэффициента 0,1 от 30 м (минимальный участок 3 м)
Не применяется совместно с расценкой 5.25; 5.26</t>
  </si>
  <si>
    <t>Позиция применяется с использованием шагового коэффициента 0,1 от 30 м (минимальный участок 3 м)
Не применяется совместно с расценкой 5.24; 5.26</t>
  </si>
  <si>
    <t>Группа грунта определяется на этапе подготовки ПД/РД. Если проектной документацией не определено, по умолчанию применяется позиция в грунтах 1-3 групп</t>
  </si>
  <si>
    <r>
      <t>Землеустроительное дело, включая и не ограничиваясь: разработку и согласование схем расположения земельного участка на кадастровом плане территории; выполнение комплекса работ по межеванию земель и формированию межевых планов, включая все необходимые согласования;
вынос границ участков в натуру (подготовка разбивочного чертежа, вынос и закрепление межевых знаков на местности);</t>
    </r>
    <r>
      <rPr>
        <sz val="10"/>
        <color rgb="FF0000FF"/>
        <rFont val="Consolas"/>
        <family val="3"/>
        <charset val="204"/>
      </rPr>
      <t xml:space="preserve"> оформление договоров аренды земельных участков, сервитутных соглашений, разрешений на использование земель</t>
    </r>
    <r>
      <rPr>
        <sz val="10"/>
        <rFont val="Consolas"/>
        <family val="3"/>
        <charset val="204"/>
      </rPr>
      <t>; постановку земельных участков на государственный кадастровый учет в кадастровой палате; инвентаризацию земель всех категорий; раздел земельного участка (размежевание участка на два и более).</t>
    </r>
  </si>
  <si>
    <r>
      <t>Устройство кабельного вывода на стену/опору от существующего колодца</t>
    </r>
    <r>
      <rPr>
        <u/>
        <sz val="10"/>
        <color theme="1"/>
        <rFont val="Consolas"/>
        <family val="3"/>
        <charset val="204"/>
      </rPr>
      <t xml:space="preserve"> (из расчета  до 30 м).</t>
    </r>
  </si>
  <si>
    <r>
      <t>ПИР, СМР (включая стоимость материалов, сопутствующих работ,</t>
    </r>
    <r>
      <rPr>
        <b/>
        <sz val="10"/>
        <color theme="1"/>
        <rFont val="Consolas"/>
        <family val="3"/>
        <charset val="204"/>
      </rPr>
      <t xml:space="preserve"> </t>
    </r>
    <r>
      <rPr>
        <sz val="10"/>
        <color theme="1"/>
        <rFont val="Consolas"/>
        <family val="3"/>
        <charset val="204"/>
      </rPr>
      <t xml:space="preserve">герметизация стоп-огонь). Оформление исполнительной документации. </t>
    </r>
  </si>
  <si>
    <r>
      <t xml:space="preserve">Монтаж кабельных лотков потолочного/настенного типа, включая работы по установке узлов крепления, фурнитуры, поворотных элементов, сопутствующих работ, заземления (при необходимости), </t>
    </r>
    <r>
      <rPr>
        <b/>
        <sz val="10"/>
        <color theme="1"/>
        <rFont val="Consolas"/>
        <family val="3"/>
        <charset val="204"/>
      </rPr>
      <t>стоимость основных и  крепежных материалов.</t>
    </r>
  </si>
  <si>
    <r>
      <t>ПИР, СМР, Прочие затраты, не ограничиваясь перечисленным: прокладка и монтаж кабеля по борозде скобами с устройством и заделкой борозды с финишной отделкой</t>
    </r>
    <r>
      <rPr>
        <b/>
        <sz val="10"/>
        <color theme="1"/>
        <rFont val="Consolas"/>
        <family val="3"/>
        <charset val="204"/>
      </rPr>
      <t xml:space="preserve"> </t>
    </r>
    <r>
      <rPr>
        <sz val="10"/>
        <color theme="1"/>
        <rFont val="Consolas"/>
        <family val="3"/>
        <charset val="204"/>
      </rPr>
      <t>от установленных ШАН и патч-панелей, с учетом стоимости разделки, с устройством, при необходимости, отверстий в стенах с заделкой (с установкой гильз), с учетом стоимости кабеля, коннектора/розетки RJ, прочих материалов. Оформление исполнительной документации.</t>
    </r>
  </si>
  <si>
    <r>
      <t>ПИР, СМР, Прочие затраты, не ограничиваясь перечисленным: прокладка и монтаж кабеля по трубе/коробу/гофре</t>
    </r>
    <r>
      <rPr>
        <b/>
        <sz val="10"/>
        <rFont val="Consolas"/>
        <family val="3"/>
        <charset val="204"/>
      </rPr>
      <t xml:space="preserve"> </t>
    </r>
    <r>
      <rPr>
        <sz val="10"/>
        <rFont val="Consolas"/>
        <family val="3"/>
        <charset val="204"/>
      </rPr>
      <t>от установленных ШАН и патч-панелей,  с учетом стоимости разделки, с устройством, при необходимости, отверстий в стенах с заделкой (с установкой гильз), с учетом стоимости кабеля, коннектора/розетки RJ, прочих материалов.  Оформление исполнительной документации.</t>
    </r>
  </si>
  <si>
    <r>
      <t>ПИР, СМР, Прочие затраты, не ограничиваясь перечисленным: прокладка трубы/короба/гофры, прокладка и монтаж кабеля по трубе/коробу/гофре</t>
    </r>
    <r>
      <rPr>
        <b/>
        <sz val="10"/>
        <rFont val="Consolas"/>
        <family val="3"/>
        <charset val="204"/>
      </rPr>
      <t xml:space="preserve"> </t>
    </r>
    <r>
      <rPr>
        <sz val="10"/>
        <rFont val="Consolas"/>
        <family val="3"/>
        <charset val="204"/>
      </rPr>
      <t>от установленных ШАН и патч-панелей, с учетом стоимости разделки, с устройством, при необходимости, отверстий в стенах с заделкой (с установкой гильз), с учетом стоимости трубы/короба, гофры, кабеля, коннектора/розетки RJ, прочих материалов.  Оформление исполнительной документации.</t>
    </r>
  </si>
  <si>
    <r>
      <t xml:space="preserve">ПИР, СМР, прочие, не ограничиваясь перечисленным: прокладка и монтаж кабеля по стене (в т.ч. по фасаду) </t>
    </r>
    <r>
      <rPr>
        <b/>
        <sz val="10"/>
        <rFont val="Consolas"/>
        <family val="3"/>
        <charset val="204"/>
      </rPr>
      <t xml:space="preserve"> </t>
    </r>
    <r>
      <rPr>
        <sz val="10"/>
        <rFont val="Consolas"/>
        <family val="3"/>
        <charset val="204"/>
      </rPr>
      <t>от установленных ШАН и патч-панелей, с учетом стоимости разделки, устройством отверстий в стенах  (с установкой гильз), заделкой, с учетом стоимости кабеля, коннектора/розетки RJ, прочих материалов. Оформление исполнительной документации.</t>
    </r>
  </si>
  <si>
    <r>
      <t>ПИР, СМР, прочие, не ограничиваясь перечисленным: прокладка и монтаж кабеля по борозде скобами с устройством и заделкой борозды с финишной отделкой</t>
    </r>
    <r>
      <rPr>
        <b/>
        <sz val="10"/>
        <rFont val="Consolas"/>
        <family val="3"/>
        <charset val="204"/>
      </rPr>
      <t xml:space="preserve"> </t>
    </r>
    <r>
      <rPr>
        <sz val="10"/>
        <rFont val="Consolas"/>
        <family val="3"/>
        <charset val="204"/>
      </rPr>
      <t>от установленных ШАН и патч-панелей, с учетом стоимости разделки, с устройством, при необходимости, отверстий в стенах с заделкой (с установкой гильз), с учетом стоимости кабеля, коннектора/розетки RJ, прочих материалов. Оформление исполнительной документации.</t>
    </r>
  </si>
  <si>
    <r>
      <t>ПИР, СМР, прочие, не ограничиваясь перечисленным: прокладка и монтаж кабеля по трубе/коробу/гофре</t>
    </r>
    <r>
      <rPr>
        <b/>
        <sz val="10"/>
        <rFont val="Consolas"/>
        <family val="3"/>
        <charset val="204"/>
      </rPr>
      <t xml:space="preserve"> </t>
    </r>
    <r>
      <rPr>
        <sz val="10"/>
        <rFont val="Consolas"/>
        <family val="3"/>
        <charset val="204"/>
      </rPr>
      <t>от установленных ШАН и патч-панелей, с учетом стоимости разделки,  с устройством, при необходимости, отверстий в стенах  с заделкой (с установкой гильз),  с учетом стоимости кабеля, коннектора/розетки RJ, прочих материалов.  Оформление исполнительной документации.</t>
    </r>
  </si>
  <si>
    <r>
      <t>ПИР, СМР, прочие, не ограничиваясь перечисленным: прокладка трубы/короба/гофры, прокладка и монтаж кабеля по трубе/коробу/гофре</t>
    </r>
    <r>
      <rPr>
        <b/>
        <sz val="10"/>
        <rFont val="Consolas"/>
        <family val="3"/>
        <charset val="204"/>
      </rPr>
      <t xml:space="preserve"> </t>
    </r>
    <r>
      <rPr>
        <sz val="10"/>
        <rFont val="Consolas"/>
        <family val="3"/>
        <charset val="204"/>
      </rPr>
      <t>от установленных ШАН и патч-панелей,  с учетом стоимости разделки,  с устройством, при необходимости, отверстий в стенах с заделкой (с установкой гильз), с учетом стоимости трубы/короба, гофры, кабеля, коннектора/розетки RJ, прочих материалов.  Оформление исполнительной документации.</t>
    </r>
  </si>
  <si>
    <r>
      <t>ПИР: Разработка проектной документации по установке шлагбаума/</t>
    </r>
    <r>
      <rPr>
        <sz val="10"/>
        <color rgb="FF0000FF"/>
        <rFont val="Consolas"/>
        <family val="3"/>
        <charset val="204"/>
      </rPr>
      <t>откатных приводов ворот/цепных барьеров,</t>
    </r>
    <r>
      <rPr>
        <sz val="10"/>
        <color theme="1"/>
        <rFont val="Consolas"/>
        <family val="3"/>
        <charset val="204"/>
      </rPr>
      <t xml:space="preserve"> согласование с Заказчиком, разработка исполнительной документации.</t>
    </r>
  </si>
  <si>
    <r>
      <t>ПИР, СМР,</t>
    </r>
    <r>
      <rPr>
        <b/>
        <sz val="10"/>
        <rFont val="Consolas"/>
        <family val="3"/>
        <charset val="204"/>
      </rPr>
      <t xml:space="preserve"> </t>
    </r>
    <r>
      <rPr>
        <sz val="10"/>
        <rFont val="Consolas"/>
        <family val="3"/>
        <charset val="204"/>
      </rPr>
      <t xml:space="preserve"> с учетом стоимости  материалов.  Включает прокладку силового кабеля  по существующим конструкциям и измерения, оформление разрешительных документов, исполнительной документации.</t>
    </r>
  </si>
  <si>
    <r>
      <t>ПИР, СМР,</t>
    </r>
    <r>
      <rPr>
        <b/>
        <sz val="10"/>
        <rFont val="Consolas"/>
        <family val="3"/>
        <charset val="204"/>
      </rPr>
      <t xml:space="preserve"> </t>
    </r>
    <r>
      <rPr>
        <sz val="10"/>
        <rFont val="Consolas"/>
        <family val="3"/>
        <charset val="204"/>
      </rPr>
      <t xml:space="preserve"> с учетом расходных и монтажных материалов, стоимости кабеля и трубы ПВХ.  Включает прокладку силового кабеля  по существующим конструкциям и измерения, оформление разрешительных документов, исполнительной документации.</t>
    </r>
  </si>
  <si>
    <r>
      <t xml:space="preserve">Выполнение работ по измерению электромагнитного излучения (ЭМИ) антенн РЭС Заказчика: 
-организация выезда представителей ТУ Роспотребнадзора для  измерения ЭМИ; 
-получение в Роспотребнадзоре разрешения на эксплуатацию (форма Р2);
-получение протокола измерений, заключения и </t>
    </r>
    <r>
      <rPr>
        <b/>
        <sz val="10"/>
        <rFont val="Consolas"/>
        <family val="3"/>
        <charset val="204"/>
      </rPr>
      <t>разрешения на эксплуатацию</t>
    </r>
    <r>
      <rPr>
        <sz val="10"/>
        <rFont val="Consolas"/>
        <family val="3"/>
        <charset val="204"/>
      </rPr>
      <t>. 
Расчет стоимости производится за объект в целом. В стоимость работ входят услуги по получению положительного Заключения на объект в целом, включая стоимость протокола измерений, содержащего результаты измерений ЭМИ по каждой антенне, экспертизу измерений и  разрешение на эксплуатацию.</t>
    </r>
  </si>
  <si>
    <t>Ввести понижающий коэффициент для удельных расценок</t>
  </si>
  <si>
    <r>
      <t xml:space="preserve">ПИР, СМР  включая, но не ограничиваясь: установка телекоммуникационного шкафа узла доступа с подключением его к электропитанию, установка коммутатора доступа, установка коммутатора агрегации/концентрации, прокладка ДРС, патч-кордов, перекидных ВОК, </t>
    </r>
    <r>
      <rPr>
        <sz val="10"/>
        <color rgb="FF0000FF"/>
        <rFont val="Consolas"/>
        <family val="3"/>
        <charset val="204"/>
      </rPr>
      <t>работы на станционной стороне</t>
    </r>
    <r>
      <rPr>
        <sz val="10"/>
        <color theme="1"/>
        <rFont val="Consolas"/>
        <family val="3"/>
        <charset val="204"/>
      </rPr>
      <t xml:space="preserve">; Прочие затраты, включая: стоимость кабеля и материалов, вспомогательное оборудование, оформление разрешительных документов, исполнительной документации.
</t>
    </r>
    <r>
      <rPr>
        <b/>
        <sz val="10"/>
        <color rgb="FF0000FF"/>
        <rFont val="Consolas"/>
        <family val="3"/>
        <charset val="204"/>
      </rPr>
      <t>Не включает:</t>
    </r>
    <r>
      <rPr>
        <sz val="10"/>
        <color rgb="FF0000FF"/>
        <rFont val="Consolas"/>
        <family val="3"/>
        <charset val="204"/>
      </rPr>
      <t xml:space="preserve"> стоимость коммутатора агрегации/концентрации,  коммутатор доступа и укомплектованного телекоммуникационного шкафа узла доступа; стоимость проектирования и строительства стояков, магистральных участков ВОЛС и устройство вводов.</t>
    </r>
  </si>
  <si>
    <r>
      <t xml:space="preserve">GPON - строительство в малоэтажных домах высотой от 3-х этажей и ниже (ДРС в подъездах не строится, ОРК - одна на подъезд, ОРШ на группу домов, кабель от ОРШ до ОРК методом подвеса).
</t>
    </r>
    <r>
      <rPr>
        <sz val="10"/>
        <color rgb="FF0000FF"/>
        <rFont val="Consolas"/>
        <family val="3"/>
        <charset val="204"/>
      </rPr>
      <t>Проектирование и строительство магистральных участков ВОЛС производится по отдельным расценкам пунктов 4.2÷4.4, устройство кабельного вывода/ввода производится по расценкам 5.24÷5.26.</t>
    </r>
    <r>
      <rPr>
        <sz val="10"/>
        <color rgb="FFFF0000"/>
        <rFont val="Consolas"/>
        <family val="3"/>
        <charset val="204"/>
      </rPr>
      <t xml:space="preserve">
</t>
    </r>
    <r>
      <rPr>
        <sz val="10"/>
        <color theme="1"/>
        <rFont val="Consolas"/>
        <family val="3"/>
        <charset val="204"/>
      </rPr>
      <t xml:space="preserve">ПИР, СМР, Прочие затраты, включая: Проектирование и согласование проведения работ с собственниками жилья; прокладка распределительных ВОК; </t>
    </r>
    <r>
      <rPr>
        <sz val="10"/>
        <color rgb="FF0000FF"/>
        <rFont val="Consolas"/>
        <family val="3"/>
        <charset val="204"/>
      </rPr>
      <t>работы на станционной стороне;</t>
    </r>
    <r>
      <rPr>
        <sz val="10"/>
        <color theme="1"/>
        <rFont val="Consolas"/>
        <family val="3"/>
        <charset val="204"/>
      </rPr>
      <t xml:space="preserve"> установка оптического распределительного шкафа (ОРШ) со сплиттерами 1-го каскада (включая стоимость ОРШ и сплиттера 1-го каскада); установка оптической распределительной коробки ОРК (</t>
    </r>
    <r>
      <rPr>
        <sz val="10"/>
        <color rgb="FF0000FF"/>
        <rFont val="Consolas"/>
        <family val="3"/>
        <charset val="204"/>
      </rPr>
      <t>включая стоимость ОРК, без учета стоимости сплиттера 2-го каскада (УСМ)</t>
    </r>
    <r>
      <rPr>
        <sz val="10"/>
        <color theme="1"/>
        <rFont val="Consolas"/>
        <family val="3"/>
        <charset val="204"/>
      </rPr>
      <t>); монтаж, разварка ВОК с комплексом измерений; подготовка, сдача ИД и законченного строительством объекта.</t>
    </r>
  </si>
  <si>
    <r>
      <t xml:space="preserve"> Демонтаж ВОК любой емкости </t>
    </r>
    <r>
      <rPr>
        <u/>
        <sz val="10"/>
        <color rgb="FF0000FF"/>
        <rFont val="Consolas"/>
        <family val="3"/>
        <charset val="204"/>
      </rPr>
      <t>из кабельной канализации,</t>
    </r>
    <r>
      <rPr>
        <sz val="10"/>
        <rFont val="Consolas"/>
        <family val="3"/>
        <charset val="204"/>
      </rPr>
      <t xml:space="preserve"> включая демонтаж внутри объекта (до кросса включительно):</t>
    </r>
  </si>
  <si>
    <r>
      <t xml:space="preserve"> Демонтаж ВОК любой емкости </t>
    </r>
    <r>
      <rPr>
        <u/>
        <sz val="10"/>
        <color rgb="FF0000FF"/>
        <rFont val="Consolas"/>
        <family val="3"/>
        <charset val="204"/>
      </rPr>
      <t>с опор</t>
    </r>
    <r>
      <rPr>
        <sz val="10"/>
        <rFont val="Consolas"/>
        <family val="3"/>
        <charset val="204"/>
      </rPr>
      <t>,  включая демонтаж внутри объекта (до кросса включительно):</t>
    </r>
  </si>
  <si>
    <r>
      <t xml:space="preserve">Демонтаж медного кабеля всех типов </t>
    </r>
    <r>
      <rPr>
        <u/>
        <sz val="10"/>
        <color rgb="FF0000FF"/>
        <rFont val="Consolas"/>
        <family val="3"/>
        <charset val="204"/>
      </rPr>
      <t>из кабельной канализации</t>
    </r>
    <r>
      <rPr>
        <sz val="10"/>
        <rFont val="Consolas"/>
        <family val="3"/>
        <charset val="204"/>
      </rPr>
      <t>,   включая демонтаж внутри объекта (до кросса включительно), емкость кабеля (включительно):</t>
    </r>
  </si>
  <si>
    <r>
      <t xml:space="preserve">Демонтаж медного кабеля всех типов </t>
    </r>
    <r>
      <rPr>
        <u/>
        <sz val="10"/>
        <color rgb="FF0000FF"/>
        <rFont val="Consolas"/>
        <family val="3"/>
        <charset val="204"/>
      </rPr>
      <t>из грунта</t>
    </r>
    <r>
      <rPr>
        <sz val="10"/>
        <rFont val="Consolas"/>
        <family val="3"/>
        <charset val="204"/>
      </rPr>
      <t xml:space="preserve">, включая демонтаж внутри объекта (до кросса включительно), емкость кабеля (включительно): </t>
    </r>
  </si>
  <si>
    <r>
      <t xml:space="preserve">Демонтаж медного кабеля  всех типов </t>
    </r>
    <r>
      <rPr>
        <u/>
        <sz val="10"/>
        <color rgb="FF0000FF"/>
        <rFont val="Consolas"/>
        <family val="3"/>
        <charset val="204"/>
      </rPr>
      <t>с опор</t>
    </r>
    <r>
      <rPr>
        <sz val="10"/>
        <rFont val="Consolas"/>
        <family val="3"/>
        <charset val="204"/>
      </rPr>
      <t>,  включая демонтаж внутри объекта (до кросса включительно), емкость кабеля (включительно):</t>
    </r>
  </si>
  <si>
    <r>
      <t xml:space="preserve">ПИР, СМР включая стоимость материалов, установки колодцев ККС (с учетом стоимости колодца, из расчета 1 колодец  на 0,08 км. трассы, оснастки, люков, труб и комплектующих), засыпки и выравнивание грунта. Оформление разрешительных документов и исполнительной документации (в том числе топографо-геодезические работы, с нанесением на городской планшет исполнительной сьёмки, землеустроительные работы).
</t>
    </r>
    <r>
      <rPr>
        <sz val="10"/>
        <color rgb="FF0000FF"/>
        <rFont val="Consolas"/>
        <family val="3"/>
        <charset val="204"/>
      </rPr>
      <t>Работы по восстановлению газонных покрытий, тротуаров, брусчатки, проезжей части, производятся отдельно по расценкам 5.15-5.18.</t>
    </r>
  </si>
  <si>
    <r>
      <t xml:space="preserve">Строительство </t>
    </r>
    <r>
      <rPr>
        <sz val="10"/>
        <color rgb="FF0000FF"/>
        <rFont val="Consolas"/>
        <family val="3"/>
        <charset val="204"/>
      </rPr>
      <t>одноканальной</t>
    </r>
    <r>
      <rPr>
        <sz val="10"/>
        <rFont val="Consolas"/>
        <family val="3"/>
        <charset val="204"/>
      </rPr>
      <t xml:space="preserve"> кабельной  канализации из асбестоцементных /полиэтиленовых труб, с установкой колодцев.</t>
    </r>
  </si>
  <si>
    <r>
      <t xml:space="preserve">Строительство </t>
    </r>
    <r>
      <rPr>
        <sz val="10"/>
        <color rgb="FF0000FF"/>
        <rFont val="Consolas"/>
        <family val="3"/>
        <charset val="204"/>
      </rPr>
      <t>2-х канальной</t>
    </r>
    <r>
      <rPr>
        <sz val="10"/>
        <rFont val="Consolas"/>
        <family val="3"/>
        <charset val="204"/>
      </rPr>
      <t xml:space="preserve"> кабельной  канализации из асбестоцементных /полиэтиленовых труб, с установкой колодцев.</t>
    </r>
  </si>
  <si>
    <r>
      <t xml:space="preserve">Докладка каждого дополнительного канала кабельной канализации </t>
    </r>
    <r>
      <rPr>
        <sz val="10"/>
        <color rgb="FF0000FF"/>
        <rFont val="Consolas"/>
        <family val="3"/>
        <charset val="204"/>
      </rPr>
      <t>в период строительства</t>
    </r>
  </si>
  <si>
    <r>
      <t xml:space="preserve">ПИР, СМР, включая стоимость материалов, засыпки и выравнивание грунта. Оформление разрешительных документов и исполнительной документации (в том числе топографо-геодезические работы, с нанесением на городской планшет исполнительной сьёмки, землеустроительные работы).  Без учёта стоимости монтажа/перебивки колодцев.
</t>
    </r>
    <r>
      <rPr>
        <sz val="10"/>
        <color rgb="FF0000FF"/>
        <rFont val="Consolas"/>
        <family val="3"/>
        <charset val="204"/>
      </rPr>
      <t>Работы по восстановлению газонных покрытий, тротуаров, брусчатки, проезжей части, производятся отдельно по расценкам 5.15-5.18.</t>
    </r>
  </si>
  <si>
    <r>
      <t xml:space="preserve">ПИР, СМР, включая стоимость материалов, засыпки и выравнивание грунта, оформление разрешительных документов и исполнительной документации. Без учёта стоимости монтажа/перебивки колодцев.
</t>
    </r>
    <r>
      <rPr>
        <sz val="10"/>
        <color rgb="FF0000FF"/>
        <rFont val="Consolas"/>
        <family val="3"/>
        <charset val="204"/>
      </rPr>
      <t>Работы по восстановлению газонных покрытий, тротуаров, брусчатки, проезжей части, производятся отдельно по расценкам 5.15-5.18.</t>
    </r>
  </si>
  <si>
    <r>
      <t xml:space="preserve">Выполнение переходов методом горизонтального направленного бурения (ГНБ) с прокладкой </t>
    </r>
    <r>
      <rPr>
        <sz val="10"/>
        <color rgb="FF0000FF"/>
        <rFont val="Consolas"/>
        <family val="3"/>
        <charset val="204"/>
      </rPr>
      <t xml:space="preserve">2-х п/э труб диаметром не менее 63 мм </t>
    </r>
  </si>
  <si>
    <r>
      <t xml:space="preserve">Выполнение переходов методом горизонтального направленного бурения (ГНБ) / горизонтально направленного прокола (ГНП) с прокладкой </t>
    </r>
    <r>
      <rPr>
        <sz val="10"/>
        <color rgb="FF0000FF"/>
        <rFont val="Consolas"/>
        <family val="3"/>
        <charset val="204"/>
      </rPr>
      <t xml:space="preserve">1-й  п/э  трубы </t>
    </r>
  </si>
  <si>
    <r>
      <t xml:space="preserve">Организация каждого </t>
    </r>
    <r>
      <rPr>
        <sz val="10"/>
        <color rgb="FF0000FF"/>
        <rFont val="Consolas"/>
        <family val="3"/>
        <charset val="204"/>
      </rPr>
      <t>дополнительного</t>
    </r>
    <r>
      <rPr>
        <sz val="10"/>
        <rFont val="Consolas"/>
        <family val="3"/>
        <charset val="204"/>
      </rPr>
      <t xml:space="preserve"> канала методом горизонтально-направленного бурения</t>
    </r>
  </si>
  <si>
    <r>
      <t xml:space="preserve">п/э  труба диаметром </t>
    </r>
    <r>
      <rPr>
        <sz val="10"/>
        <color rgb="FF0000FF"/>
        <rFont val="Consolas"/>
        <family val="3"/>
        <charset val="204"/>
      </rPr>
      <t>63 мм</t>
    </r>
  </si>
  <si>
    <r>
      <t xml:space="preserve">п/э  труба диаметром </t>
    </r>
    <r>
      <rPr>
        <sz val="10"/>
        <color rgb="FF0000FF"/>
        <rFont val="Consolas"/>
        <family val="3"/>
        <charset val="204"/>
      </rPr>
      <t>110 мм</t>
    </r>
  </si>
  <si>
    <r>
      <t xml:space="preserve">Установка колодца типа </t>
    </r>
    <r>
      <rPr>
        <sz val="10"/>
        <color rgb="FF0000FF"/>
        <rFont val="Consolas"/>
        <family val="3"/>
        <charset val="204"/>
      </rPr>
      <t>ККС-1</t>
    </r>
    <r>
      <rPr>
        <sz val="10"/>
        <rFont val="Consolas"/>
        <family val="3"/>
        <charset val="204"/>
      </rPr>
      <t>, в том числе при организации участка ГНБ и на существующей кабельной канализации</t>
    </r>
  </si>
  <si>
    <r>
      <t xml:space="preserve">Установка колодца типа </t>
    </r>
    <r>
      <rPr>
        <sz val="10"/>
        <color rgb="FF0000FF"/>
        <rFont val="Consolas"/>
        <family val="3"/>
        <charset val="204"/>
      </rPr>
      <t>ККС-2</t>
    </r>
    <r>
      <rPr>
        <sz val="10"/>
        <color theme="1"/>
        <rFont val="Consolas"/>
        <family val="3"/>
        <charset val="204"/>
      </rPr>
      <t>, в том числе при организации участка ГНБ и на существующей кабельной канализации</t>
    </r>
  </si>
  <si>
    <r>
      <t xml:space="preserve">Установка колодца типа </t>
    </r>
    <r>
      <rPr>
        <sz val="10"/>
        <color rgb="FF0000FF"/>
        <rFont val="Consolas"/>
        <family val="3"/>
        <charset val="204"/>
      </rPr>
      <t>ККС-3</t>
    </r>
    <r>
      <rPr>
        <sz val="10"/>
        <color theme="1"/>
        <rFont val="Consolas"/>
        <family val="3"/>
        <charset val="204"/>
      </rPr>
      <t>,  в том числе при организации участка ГНБ и на существующей кабельной канализации</t>
    </r>
  </si>
  <si>
    <r>
      <t xml:space="preserve">Установка колодца типа </t>
    </r>
    <r>
      <rPr>
        <sz val="10"/>
        <color rgb="FF0000FF"/>
        <rFont val="Consolas"/>
        <family val="3"/>
        <charset val="204"/>
      </rPr>
      <t>ККС-4</t>
    </r>
    <r>
      <rPr>
        <sz val="10"/>
        <color theme="1"/>
        <rFont val="Consolas"/>
        <family val="3"/>
        <charset val="204"/>
      </rPr>
      <t>, в том числе при организации участка ГНБ и на существующей кабельной канализации</t>
    </r>
  </si>
  <si>
    <r>
      <t xml:space="preserve">Установка колодца типа </t>
    </r>
    <r>
      <rPr>
        <sz val="10"/>
        <color rgb="FF0000FF"/>
        <rFont val="Consolas"/>
        <family val="3"/>
        <charset val="204"/>
      </rPr>
      <t>ККС-5</t>
    </r>
    <r>
      <rPr>
        <sz val="10"/>
        <color theme="1"/>
        <rFont val="Consolas"/>
        <family val="3"/>
        <charset val="204"/>
      </rPr>
      <t>,  в том числе при организации участка ГНБ и на существующей кабельной канализации</t>
    </r>
  </si>
  <si>
    <r>
      <t xml:space="preserve">Установка колодца типа </t>
    </r>
    <r>
      <rPr>
        <sz val="10"/>
        <color rgb="FF0000FF"/>
        <rFont val="Consolas"/>
        <family val="3"/>
        <charset val="204"/>
      </rPr>
      <t>ККТМ-1</t>
    </r>
    <r>
      <rPr>
        <sz val="10"/>
        <color theme="1"/>
        <rFont val="Consolas"/>
        <family val="3"/>
        <charset val="204"/>
      </rPr>
      <t>,  в том числе при организации участка ГНБ и на существующей кабельной канализации в сегменте малоэтажной застройки, коттеджных посёлках</t>
    </r>
  </si>
  <si>
    <r>
      <t xml:space="preserve">Установка подземных смотровых устройств типа </t>
    </r>
    <r>
      <rPr>
        <sz val="10"/>
        <color rgb="FF0000FF"/>
        <rFont val="Consolas"/>
        <family val="3"/>
        <charset val="204"/>
      </rPr>
      <t>КОТ-1/КОТ-2</t>
    </r>
  </si>
  <si>
    <t xml:space="preserve">Применяется дополнительно к расценке 5.1; 5.3-5.4.
По требованию Заказчика фактический объем работ  подтверждается Актом.
</t>
  </si>
  <si>
    <t>Применяется дополнительно к расценке 5.1; 5.3-5.4.
По требованию Заказчика фактический объем работ  подтверждается Актом.</t>
  </si>
  <si>
    <r>
      <t xml:space="preserve">ПИР, СМР, включая стоимость материалов ( асбестоцементные /полиэтиленовые трубы диаметром не менее 63 мм, комплектующие), организацию вывода из кабельного колодца и ввода в фундаментном основании, герметизация каналов, восстановление асфальтобетонных покрытий проезжей части, тротуаров и работ по благоустройству, оформление разрешительных документов и исполнительной документации (в том числе с нанесением на городской планшет исполнительной сьемки). Заказ и оплата топосъемок  . 
</t>
    </r>
    <r>
      <rPr>
        <b/>
        <sz val="10"/>
        <color rgb="FF0000FF"/>
        <rFont val="Consolas"/>
        <family val="3"/>
        <charset val="204"/>
      </rPr>
      <t>Стоимость колодца и монтажа учитывается отдельной расценкой.</t>
    </r>
  </si>
  <si>
    <r>
      <t xml:space="preserve">ПИР, СМР, Прочие затраты: установка телекоммуникационного шкафа с опорной рамой  в грунт (предоставляет Заказчик), устройство фундаментов и отмостки; перевозка шкафа; монтаж шкафа; устройство заземления, приобретение необходимых расходных материалов монтажа и  комплектующих, при необходимости доукомплектацию БКТО, кроссами, плинтами. Оформление разрешительных документов. Выполнение топографо-геодезических работ при предъявлении требования от Заказчика. Оформление исполнительной документации.   </t>
    </r>
    <r>
      <rPr>
        <b/>
        <sz val="10"/>
        <color rgb="FF0000FF"/>
        <rFont val="Consolas"/>
        <family val="3"/>
        <charset val="204"/>
      </rPr>
      <t>Не включает</t>
    </r>
    <r>
      <rPr>
        <sz val="10"/>
        <color rgb="FF0000FF"/>
        <rFont val="Consolas"/>
        <family val="3"/>
        <charset val="204"/>
      </rPr>
      <t>: стоимость шкафа распределительного с опорной рамой.</t>
    </r>
  </si>
  <si>
    <r>
      <t xml:space="preserve">Монтаж климатического шкафа </t>
    </r>
    <r>
      <rPr>
        <sz val="10"/>
        <color rgb="FF0000FF"/>
        <rFont val="Consolas"/>
        <family val="3"/>
        <charset val="204"/>
      </rPr>
      <t>(Outdoor) размером от (750х350х1500)</t>
    </r>
  </si>
  <si>
    <r>
      <t xml:space="preserve">ПИР, СМР, Прочие затраты, включая стоимость материалов, в том числе и не ограничиваясь перечисленным: земляные работы; устройство фундаментов и отмостки; перевозка шкафа; монтаж шкафа; устройство заземления, электроснабжения, присоединение к электрической сети (прокладка силового кабеля длиной до 50 м, включая работы по прокладке в грунте). Выполнение топографо-геодезических работ при необходимости, оформление разрешительных документов и исполнительной документации.
</t>
    </r>
    <r>
      <rPr>
        <b/>
        <sz val="10"/>
        <color rgb="FF0000FF"/>
        <rFont val="Consolas"/>
        <family val="3"/>
        <charset val="204"/>
      </rPr>
      <t>Не включает</t>
    </r>
    <r>
      <rPr>
        <sz val="10"/>
        <color rgb="FF0000FF"/>
        <rFont val="Consolas"/>
        <family val="3"/>
        <charset val="204"/>
      </rPr>
      <t>: стоимость климатического шкафа в комплекте.</t>
    </r>
  </si>
  <si>
    <r>
      <t xml:space="preserve">Монтаж климатического шкафа </t>
    </r>
    <r>
      <rPr>
        <sz val="10"/>
        <color rgb="FF0000FF"/>
        <rFont val="Consolas"/>
        <family val="3"/>
        <charset val="204"/>
      </rPr>
      <t>(Indoor) размером от (750х350х1500)</t>
    </r>
  </si>
  <si>
    <r>
      <t xml:space="preserve">ИР, СМР, Прочие затраты, включая стоимость материалов, в том числе и не ограничиваясь перечисленным: в зависимости от места установки осуществляется крепление к стене здания (при необходимости выполняются работы по выравниванию стен), перевозка шкафа; монтаж шкафа; устройство заземления, электроснабжения, присоединение к электрической сети (прокладка силового кабеля длиной до 50 м). Оформление разрешительных документов и исполнительной документации. 
</t>
    </r>
    <r>
      <rPr>
        <sz val="10"/>
        <color rgb="FF0000FF"/>
        <rFont val="Consolas"/>
        <family val="3"/>
        <charset val="204"/>
      </rPr>
      <t>Не включает: стоимость климатического шкафа в комплекте.</t>
    </r>
  </si>
  <si>
    <r>
      <t xml:space="preserve">Монтаж телекоммуникационного климатического шкафа </t>
    </r>
    <r>
      <rPr>
        <sz val="10"/>
        <color rgb="FF0000FF"/>
        <rFont val="Consolas"/>
        <family val="3"/>
        <charset val="204"/>
      </rPr>
      <t xml:space="preserve">на опоре/стене размером от (650х350Х650) </t>
    </r>
  </si>
  <si>
    <r>
      <t>ПИР, СМР, Прочие затраты, включая стоимость материалов, в том числе и не ограничиваясь перечисленным: перевозка шкафа; монтаж шкафа; устройство заземления, электроснабжения, присоединение к электрической сети (прокладка силового кабеля длиной до 20 м). Оформление разрешительных документов и исполнительной документации.</t>
    </r>
    <r>
      <rPr>
        <b/>
        <sz val="10"/>
        <rFont val="Consolas"/>
        <family val="3"/>
        <charset val="204"/>
      </rPr>
      <t xml:space="preserve"> 
</t>
    </r>
    <r>
      <rPr>
        <b/>
        <sz val="10"/>
        <color rgb="FF0000FF"/>
        <rFont val="Consolas"/>
        <family val="3"/>
        <charset val="204"/>
      </rPr>
      <t>Не включает</t>
    </r>
    <r>
      <rPr>
        <sz val="10"/>
        <color rgb="FF0000FF"/>
        <rFont val="Consolas"/>
        <family val="3"/>
        <charset val="204"/>
      </rPr>
      <t>: стоимость установки опоры, стоимость климатического шкафа в комплекте.</t>
    </r>
  </si>
  <si>
    <r>
      <t>Монтаж контейнера</t>
    </r>
    <r>
      <rPr>
        <sz val="10"/>
        <color rgb="FF0000FF"/>
        <rFont val="Consolas"/>
        <family val="3"/>
        <charset val="204"/>
      </rPr>
      <t xml:space="preserve"> (уличного)</t>
    </r>
    <r>
      <rPr>
        <sz val="10"/>
        <color rgb="FF000000"/>
        <rFont val="Consolas"/>
        <family val="3"/>
        <charset val="204"/>
      </rPr>
      <t xml:space="preserve"> площадью </t>
    </r>
    <r>
      <rPr>
        <sz val="10"/>
        <color rgb="FF0000FF"/>
        <rFont val="Consolas"/>
        <family val="3"/>
        <charset val="204"/>
      </rPr>
      <t>от 3,45 м2</t>
    </r>
  </si>
  <si>
    <r>
      <t xml:space="preserve">ПИР, СМР, Прочие затраты, включая стоимость материалов, в том числе и не ограничиваясь перечисленным: земляные работы; устройство фундаментов и отмостки; перевозка контейнера; монтаж контейнера; монтаж ВРУ; устройство заземления; электроснабжение; установка сплит-системы; присоединение к электрической сети (прокладка силового кабеля длиной до 50 м, включая работы по прокладке в грунте). Выполнение топографо-геодезических работ при необходимости, оформление разрешительных документов и исполнительной документации  (в том числе топографо-геодезические работы, землеустроительные работы).
</t>
    </r>
    <r>
      <rPr>
        <b/>
        <sz val="10"/>
        <color rgb="FF0000FF"/>
        <rFont val="Consolas"/>
        <family val="3"/>
        <charset val="204"/>
      </rPr>
      <t>Не включает</t>
    </r>
    <r>
      <rPr>
        <sz val="10"/>
        <color rgb="FF0000FF"/>
        <rFont val="Consolas"/>
        <family val="3"/>
        <charset val="204"/>
      </rPr>
      <t>: стоимость контейнера в комплекте.</t>
    </r>
  </si>
  <si>
    <t>Раздел 6. Внутриобъектовые/объектовые работы
(Работы не зависимо от % проникновения, включая работы при модернизации сети)</t>
  </si>
  <si>
    <r>
      <t xml:space="preserve">Прокладка и монтаж многопарного передаточного кабеля "витая пара" Cat 5е ёмкостью </t>
    </r>
    <r>
      <rPr>
        <sz val="10"/>
        <color rgb="FF0000FF"/>
        <rFont val="Consolas"/>
        <family val="3"/>
        <charset val="204"/>
      </rPr>
      <t>до 25 пар включительно,</t>
    </r>
    <r>
      <rPr>
        <sz val="10"/>
        <rFont val="Consolas"/>
        <family val="3"/>
        <charset val="204"/>
      </rPr>
      <t xml:space="preserve"> от существующего УД до подъезда</t>
    </r>
  </si>
  <si>
    <r>
      <t xml:space="preserve">Прокладка и монтаж многопарного передаточного кабеля "витая пара" Cat 5е </t>
    </r>
    <r>
      <rPr>
        <sz val="10"/>
        <color rgb="FF0000FF"/>
        <rFont val="Consolas"/>
        <family val="3"/>
        <charset val="204"/>
      </rPr>
      <t xml:space="preserve">до 50 пар включительно </t>
    </r>
  </si>
  <si>
    <r>
      <t xml:space="preserve">Прокладка стальных труб диаметром </t>
    </r>
    <r>
      <rPr>
        <sz val="10"/>
        <color rgb="FF0000FF"/>
        <rFont val="Consolas"/>
        <family val="3"/>
        <charset val="204"/>
      </rPr>
      <t>60 мм</t>
    </r>
  </si>
  <si>
    <r>
      <t xml:space="preserve">Алмазное сверление/бурение перекрытий диаметром </t>
    </r>
    <r>
      <rPr>
        <sz val="10"/>
        <color rgb="FF0000FF"/>
        <rFont val="Consolas"/>
        <family val="3"/>
        <charset val="204"/>
      </rPr>
      <t>до 50 мм</t>
    </r>
  </si>
  <si>
    <r>
      <t xml:space="preserve">ПИР, СМР  включая стоимость материалов (с учетом  технологических, монтажных запасов кабеля),  проведение  всех измерений, включая входной контроль кабеля. установку делителей, ответвителей, с учетом стоимости всех материалов, установку и настройку активного оборудования (в т.ч. коммутация на стороне головной станции), прочие, оформление разрешительных документов, исполнительной документации. </t>
    </r>
    <r>
      <rPr>
        <sz val="10"/>
        <color rgb="FF0000FF"/>
        <rFont val="Consolas"/>
        <family val="3"/>
        <charset val="204"/>
      </rPr>
      <t xml:space="preserve">Не включает стоимость активного оборудования, стоимость и монтаж шкафа. </t>
    </r>
  </si>
  <si>
    <r>
      <t xml:space="preserve">ПИР, СМР,  с учетом  стоимости кабеля и материалов, стоек, кабельканалов, кроссов; установки муфт со сваркой волокон (включая стоимость ВОК, муфт); прокладки по стене; устройство отверстий в стенах, защиту кабеля в опасных местах, внутриобъектовые работ; монтажа кабельканалов, кроссов и стоек для их крепления; оконечивания кабеля;  проведение  всех измерений ВОК, включая входной контроль кабеля. Оформлением разрешительных документов и исполнительной документации. 
</t>
    </r>
    <r>
      <rPr>
        <b/>
        <sz val="10"/>
        <color rgb="FF0000FF"/>
        <rFont val="Consolas"/>
        <family val="3"/>
        <charset val="204"/>
      </rPr>
      <t>Не включает стоимость ОРК.</t>
    </r>
    <r>
      <rPr>
        <b/>
        <sz val="10"/>
        <color rgb="FFFF0000"/>
        <rFont val="Consolas"/>
        <family val="3"/>
        <charset val="204"/>
      </rPr>
      <t xml:space="preserve"> </t>
    </r>
  </si>
  <si>
    <r>
      <t xml:space="preserve">ПИР, СМР,  с учетом  стоимости вспомогательных материалов </t>
    </r>
    <r>
      <rPr>
        <b/>
        <sz val="10"/>
        <color rgb="FF0000FF"/>
        <rFont val="Consolas"/>
        <family val="3"/>
        <charset val="204"/>
      </rPr>
      <t>(без учёта стоимости ОРК)</t>
    </r>
    <r>
      <rPr>
        <sz val="10"/>
        <color theme="1"/>
        <rFont val="Consolas"/>
        <family val="3"/>
        <charset val="204"/>
      </rPr>
      <t>. Оформление разрешительных документов и исполнительной документации.</t>
    </r>
  </si>
  <si>
    <r>
      <t xml:space="preserve">ПИР, СМР, </t>
    </r>
    <r>
      <rPr>
        <sz val="10"/>
        <color rgb="FF0000FF"/>
        <rFont val="Consolas"/>
        <family val="3"/>
        <charset val="204"/>
      </rPr>
      <t>без учёта стоимости сплиттера 2-го каскада (УСМ)</t>
    </r>
    <r>
      <rPr>
        <sz val="10"/>
        <color theme="1"/>
        <rFont val="Consolas"/>
        <family val="3"/>
        <charset val="204"/>
      </rPr>
      <t>. Оформление разрешительных документов и исполнительной документации.</t>
    </r>
  </si>
  <si>
    <r>
      <t xml:space="preserve">Установка/замена шкафа  ОРШ </t>
    </r>
    <r>
      <rPr>
        <sz val="10"/>
        <color rgb="FF0000FF"/>
        <rFont val="Consolas"/>
        <family val="3"/>
        <charset val="204"/>
      </rPr>
      <t xml:space="preserve">от 64 до 128 </t>
    </r>
    <r>
      <rPr>
        <sz val="10"/>
        <color theme="1"/>
        <rFont val="Consolas"/>
        <family val="3"/>
        <charset val="204"/>
      </rPr>
      <t>абонентов PON (включительно)</t>
    </r>
  </si>
  <si>
    <t>ПИР, СМР, с учетом  стоимости вспомогательных и основных материалов  (включая стоимость ОРШ, и работы по демонтажу при замене). Оформление разрешительных документов и исполнительной документации.</t>
  </si>
  <si>
    <r>
      <t xml:space="preserve">Установка/замена шкафа  ОРШ </t>
    </r>
    <r>
      <rPr>
        <sz val="10"/>
        <color rgb="FF0000FF"/>
        <rFont val="Consolas"/>
        <family val="3"/>
        <charset val="204"/>
      </rPr>
      <t>от 128 до 256</t>
    </r>
    <r>
      <rPr>
        <sz val="10"/>
        <color theme="1"/>
        <rFont val="Consolas"/>
        <family val="3"/>
        <charset val="204"/>
      </rPr>
      <t xml:space="preserve"> абонентов PON (включительно)</t>
    </r>
  </si>
  <si>
    <t>ПИР, СМР, с учетом  стоимости вспомогательных и основных материалов   (включая стоимость ОРШ, и работы по демонтажу при замене). Оформление разрешительных документов и исполнительной документации.</t>
  </si>
  <si>
    <r>
      <t xml:space="preserve">Установка и монтаж сплиттера первого каскада, расключение, включая стоимость сплиттера </t>
    </r>
    <r>
      <rPr>
        <sz val="10"/>
        <color rgb="FF0000FF"/>
        <rFont val="Consolas"/>
        <family val="3"/>
        <charset val="204"/>
      </rPr>
      <t>1*8</t>
    </r>
  </si>
  <si>
    <r>
      <t xml:space="preserve">Установка и монтаж сплиттера первого каскада, расключение, включая стоимость сплиттера </t>
    </r>
    <r>
      <rPr>
        <sz val="10"/>
        <color rgb="FF0000FF"/>
        <rFont val="Consolas"/>
        <family val="3"/>
        <charset val="204"/>
      </rPr>
      <t xml:space="preserve">1*16 </t>
    </r>
  </si>
  <si>
    <r>
      <t xml:space="preserve">Установка трубы /гофры, кабель- каналов, коробов ПВХ по конструкциям  Д </t>
    </r>
    <r>
      <rPr>
        <sz val="10"/>
        <color rgb="FF0000FF"/>
        <rFont val="Consolas"/>
        <family val="3"/>
        <charset val="204"/>
      </rPr>
      <t>до 25 мм/размером до 25х25мм</t>
    </r>
  </si>
  <si>
    <r>
      <t xml:space="preserve">Установка трубы /гофры, кабель каналов, коробов ПВХ по конструкциям Д </t>
    </r>
    <r>
      <rPr>
        <sz val="10"/>
        <color rgb="FF0000FF"/>
        <rFont val="Consolas"/>
        <family val="3"/>
        <charset val="204"/>
      </rPr>
      <t>до 63 мм/размером до 60х60мм</t>
    </r>
  </si>
  <si>
    <r>
      <t xml:space="preserve">Установка трубы /гофры, кабель каналов, коробов ПВХ по конструкциям Д </t>
    </r>
    <r>
      <rPr>
        <sz val="10"/>
        <color rgb="FF0000FF"/>
        <rFont val="Consolas"/>
        <family val="3"/>
        <charset val="204"/>
      </rPr>
      <t>более  63  мм/размером более 60х60мм</t>
    </r>
  </si>
  <si>
    <r>
      <t xml:space="preserve">Прокладка и монтаж кабельных ( в т.ч.  перфорированных, металлических) лотков </t>
    </r>
    <r>
      <rPr>
        <sz val="10"/>
        <color rgb="FF0000FF"/>
        <rFont val="Consolas"/>
        <family val="3"/>
        <charset val="204"/>
      </rPr>
      <t>до 400 мм</t>
    </r>
    <r>
      <rPr>
        <sz val="10"/>
        <color theme="1"/>
        <rFont val="Consolas"/>
        <family val="3"/>
        <charset val="204"/>
      </rPr>
      <t>, со всеми комплектующими (крышка, заглушки, повороты, соединительные элементы и прочее)</t>
    </r>
  </si>
  <si>
    <r>
      <t xml:space="preserve">Прокладка металлорукава диаметром </t>
    </r>
    <r>
      <rPr>
        <sz val="10"/>
        <color rgb="FF0000FF"/>
        <rFont val="Consolas"/>
        <family val="3"/>
        <charset val="204"/>
      </rPr>
      <t>до 38 мм</t>
    </r>
  </si>
  <si>
    <r>
      <t>Монтаж/Замена патч-корда с монтажом/заменой SFP модуля (при необходимости) при длине патч-корда</t>
    </r>
    <r>
      <rPr>
        <sz val="10"/>
        <color rgb="FF0000FF"/>
        <rFont val="Consolas"/>
        <family val="3"/>
        <charset val="204"/>
      </rPr>
      <t xml:space="preserve"> до 3 м</t>
    </r>
  </si>
  <si>
    <r>
      <t xml:space="preserve">СМР, Прочие затраты: монтаж/замена патч-корда, в том числе для переключения  узлов FTTB с двухволоконной на одноволоконную схему организации связи с заменой (при необходимости) SFP модуля, работающего по двухволоконной схеме, на SFP модуль, работающий по одноволоконной схеме, с учетом стоимости патч-кордов и расходных материалов (состав для обработки разъемов, баллончик со сжатым воздухом и проч.), </t>
    </r>
    <r>
      <rPr>
        <sz val="10"/>
        <color rgb="FF0000FF"/>
        <rFont val="Consolas"/>
        <family val="3"/>
        <charset val="204"/>
      </rPr>
      <t>без учета стоимости SFP модуля</t>
    </r>
    <r>
      <rPr>
        <sz val="10"/>
        <rFont val="Consolas"/>
        <family val="3"/>
        <charset val="204"/>
      </rPr>
      <t>, прочие расходы (включая транспортные).</t>
    </r>
  </si>
  <si>
    <r>
      <t xml:space="preserve">Монтаж/Замена патч-корда с монтажом/заменой SFP модуля (при необходимости) при длине патч-корда </t>
    </r>
    <r>
      <rPr>
        <sz val="10"/>
        <color rgb="FF0000FF"/>
        <rFont val="Consolas"/>
        <family val="3"/>
        <charset val="204"/>
      </rPr>
      <t>свыше 3 м до 10 м</t>
    </r>
    <r>
      <rPr>
        <sz val="10"/>
        <rFont val="Consolas"/>
        <family val="3"/>
        <charset val="204"/>
      </rPr>
      <t xml:space="preserve"> включительно</t>
    </r>
  </si>
  <si>
    <r>
      <t xml:space="preserve">СМР, Прочие затраты: монтаж/замена патч-корда, в том числе для переключения  узлов FTTB с двухволоконной на одноволоконную схему организации связи:  с заменой (при необходимости) SFP модуля, работающего по двухволоконной схеме, на SFP модуль, работающий по одноволоконной схеме, с учетом стоимости патч-кордов и расходных материалов (состав для обработки разъемов, баллончик со сжатым воздухом и проч.), </t>
    </r>
    <r>
      <rPr>
        <sz val="10"/>
        <color rgb="FF0000FF"/>
        <rFont val="Consolas"/>
        <family val="3"/>
        <charset val="204"/>
      </rPr>
      <t>без учета стоимости SFP модуля</t>
    </r>
    <r>
      <rPr>
        <sz val="10"/>
        <rFont val="Consolas"/>
        <family val="3"/>
        <charset val="204"/>
      </rPr>
      <t>, прочие расходы (включая транспортные).</t>
    </r>
  </si>
  <si>
    <r>
      <t xml:space="preserve">Монтаж оптических  патч-кордов (включая стоимость патч-корда, монтаж, с учётом расходных и монтажных материалов) </t>
    </r>
    <r>
      <rPr>
        <sz val="10"/>
        <color rgb="FF0000FF"/>
        <rFont val="Consolas"/>
        <family val="3"/>
        <charset val="204"/>
      </rPr>
      <t>до 50 м.</t>
    </r>
  </si>
  <si>
    <r>
      <t xml:space="preserve">Сварка/переварка волокон </t>
    </r>
    <r>
      <rPr>
        <sz val="10"/>
        <color rgb="FF0000FF"/>
        <rFont val="Consolas"/>
        <family val="3"/>
        <charset val="204"/>
      </rPr>
      <t>(применяется только на  существующей кабельной линии)</t>
    </r>
  </si>
  <si>
    <r>
      <t xml:space="preserve">ПИР, СМР, Прочие затраты, исполнительная документация, при этом включено:  монтаж шкафа, подключение к электропитанию и заземлению, стоимость и монтаж ЩРУН (щиток учетно-распределительный), стоимость и установка узлов учета электрической энергии, автоматического выключателя, стоимость и прокладка силового кабеля (длиной </t>
    </r>
    <r>
      <rPr>
        <sz val="10"/>
        <color rgb="FF0000FF"/>
        <rFont val="Consolas"/>
        <family val="3"/>
        <charset val="204"/>
      </rPr>
      <t>до 20 м</t>
    </r>
    <r>
      <rPr>
        <sz val="10"/>
        <rFont val="Consolas"/>
        <family val="3"/>
        <charset val="204"/>
      </rPr>
      <t>), стоимость шкафа/стойки и монтажных материалов, включая органайзер, патч-панель, стоимость доставки. Оформление разрешительных документов на размещение.</t>
    </r>
  </si>
  <si>
    <t>до 9U включительно</t>
  </si>
  <si>
    <r>
      <t xml:space="preserve">Монтаж телекоммуникационного  шкафа 19", телекоммуникационной стойки 19" </t>
    </r>
    <r>
      <rPr>
        <sz val="10"/>
        <color rgb="FF0000FF"/>
        <rFont val="Consolas"/>
        <family val="3"/>
        <charset val="204"/>
      </rPr>
      <t>любой ёмкости</t>
    </r>
  </si>
  <si>
    <r>
      <t xml:space="preserve">ПИР, СМР, прочие затраты, исполнительная документация, при этом включено (не ограничиваясь этим):   монтаж шкафа, электромонтажные работы (при необходимости),  стоимость силового кабеля длиной </t>
    </r>
    <r>
      <rPr>
        <sz val="10"/>
        <color rgb="FF0000FF"/>
        <rFont val="Consolas"/>
        <family val="3"/>
        <charset val="204"/>
      </rPr>
      <t>20 м</t>
    </r>
    <r>
      <rPr>
        <sz val="10"/>
        <color theme="1"/>
        <rFont val="Consolas"/>
        <family val="3"/>
        <charset val="204"/>
      </rPr>
      <t xml:space="preserve">, </t>
    </r>
    <r>
      <rPr>
        <sz val="10"/>
        <color rgb="FF0000FF"/>
        <rFont val="Consolas"/>
        <family val="3"/>
        <charset val="204"/>
      </rPr>
      <t>автоматического выключателя</t>
    </r>
    <r>
      <rPr>
        <sz val="10"/>
        <color theme="1"/>
        <rFont val="Consolas"/>
        <family val="3"/>
        <charset val="204"/>
      </rPr>
      <t xml:space="preserve"> (при необходимости), стоимость монтажных материалов. Оформление разрешительных документов, исполнительной документации.
</t>
    </r>
    <r>
      <rPr>
        <sz val="10"/>
        <color rgb="FF0000FF"/>
        <rFont val="Consolas"/>
        <family val="3"/>
        <charset val="204"/>
      </rPr>
      <t>Не включено:  стоимость укомплектованного шкафа,  монтаж и стоимость активного оборудования.</t>
    </r>
  </si>
  <si>
    <r>
      <t xml:space="preserve">ПИР, СМР, прочие затраты, при этом включено (не ограничиваясь этим):   монтаж шкафа (включая стоимость шкафа), стоимость монтажных материалов. Оформление исполнительной документации. 
</t>
    </r>
    <r>
      <rPr>
        <sz val="10"/>
        <color rgb="FF0000FF"/>
        <rFont val="Consolas"/>
        <family val="3"/>
        <charset val="204"/>
      </rPr>
      <t xml:space="preserve">Не включено:  монтаж и стоимость активного оборудования, организация электропитания, монтаж розеток и автоматических выключателей, линий связи. </t>
    </r>
  </si>
  <si>
    <r>
      <t xml:space="preserve">ПИР, СМР, прочие затраты, при этом включено и не ограничиваясь этим: монтаж щита с монтажной панелью и подготовка под установку приборов учета, включая стоимость шкафа, монтажных и комплектующих материалов (DIN рейка, ограничитель; шина N; кабельный ввод; фланец мембранный; кросс-модуль L+PEN; короб перфорированный, серый RL6 до 40x40 включительно; клеммы проходные и прочее) . Оформление исполнительной документации.
</t>
    </r>
    <r>
      <rPr>
        <b/>
        <sz val="10"/>
        <color rgb="FF0000FF"/>
        <rFont val="Consolas"/>
        <family val="3"/>
        <charset val="204"/>
      </rPr>
      <t xml:space="preserve">Не включено:  монтаж и стоимость активного оборудования, организация электропитания, монтаж розеток и автоматических выключателей, линий связи. </t>
    </r>
  </si>
  <si>
    <r>
      <t>Тип №1 габаритами</t>
    </r>
    <r>
      <rPr>
        <sz val="10"/>
        <color rgb="FF0000FF"/>
        <rFont val="Consolas"/>
        <family val="3"/>
        <charset val="204"/>
      </rPr>
      <t xml:space="preserve"> до 395х310х220</t>
    </r>
    <r>
      <rPr>
        <sz val="10"/>
        <color theme="1"/>
        <rFont val="Consolas"/>
        <family val="3"/>
        <charset val="204"/>
      </rPr>
      <t xml:space="preserve"> включительно </t>
    </r>
  </si>
  <si>
    <r>
      <t xml:space="preserve">Тип №2 габаритами </t>
    </r>
    <r>
      <rPr>
        <sz val="10"/>
        <color rgb="FF0000FF"/>
        <rFont val="Consolas"/>
        <family val="3"/>
        <charset val="204"/>
      </rPr>
      <t>до 500x400x200</t>
    </r>
    <r>
      <rPr>
        <sz val="10"/>
        <color theme="1"/>
        <rFont val="Consolas"/>
        <family val="3"/>
        <charset val="204"/>
      </rPr>
      <t xml:space="preserve"> включительно </t>
    </r>
  </si>
  <si>
    <r>
      <t>Тип №3 габаритами</t>
    </r>
    <r>
      <rPr>
        <sz val="10"/>
        <color rgb="FF0000FF"/>
        <rFont val="Consolas"/>
        <family val="3"/>
        <charset val="204"/>
      </rPr>
      <t xml:space="preserve"> до 650х500х220</t>
    </r>
    <r>
      <rPr>
        <sz val="10"/>
        <color theme="1"/>
        <rFont val="Consolas"/>
        <family val="3"/>
        <charset val="204"/>
      </rPr>
      <t xml:space="preserve"> включительно </t>
    </r>
  </si>
  <si>
    <r>
      <t xml:space="preserve"> Тип №4 габаритами </t>
    </r>
    <r>
      <rPr>
        <sz val="10"/>
        <color rgb="FF0000FF"/>
        <rFont val="Consolas"/>
        <family val="3"/>
        <charset val="204"/>
      </rPr>
      <t>до 800х650х250</t>
    </r>
    <r>
      <rPr>
        <sz val="10"/>
        <color theme="1"/>
        <rFont val="Consolas"/>
        <family val="3"/>
        <charset val="204"/>
      </rPr>
      <t xml:space="preserve"> включительно </t>
    </r>
  </si>
  <si>
    <r>
      <t xml:space="preserve"> Тип №5 габаритами </t>
    </r>
    <r>
      <rPr>
        <sz val="10"/>
        <color rgb="FF0000FF"/>
        <rFont val="Consolas"/>
        <family val="3"/>
        <charset val="204"/>
      </rPr>
      <t>до 1000х650х285</t>
    </r>
    <r>
      <rPr>
        <sz val="10"/>
        <color theme="1"/>
        <rFont val="Consolas"/>
        <family val="3"/>
        <charset val="204"/>
      </rPr>
      <t xml:space="preserve"> включительно </t>
    </r>
  </si>
  <si>
    <r>
      <t xml:space="preserve"> Тип №6 габаритами </t>
    </r>
    <r>
      <rPr>
        <sz val="10"/>
        <color rgb="FF0000FF"/>
        <rFont val="Consolas"/>
        <family val="3"/>
        <charset val="204"/>
      </rPr>
      <t>до 1200х750х300</t>
    </r>
    <r>
      <rPr>
        <sz val="10"/>
        <color theme="1"/>
        <rFont val="Consolas"/>
        <family val="3"/>
        <charset val="204"/>
      </rPr>
      <t xml:space="preserve"> включительно </t>
    </r>
  </si>
  <si>
    <r>
      <t xml:space="preserve">Монтаж оборудования </t>
    </r>
    <r>
      <rPr>
        <sz val="10"/>
        <color rgb="FF0000FF"/>
        <rFont val="Consolas"/>
        <family val="3"/>
        <charset val="204"/>
      </rPr>
      <t xml:space="preserve">свыше 4U </t>
    </r>
    <r>
      <rPr>
        <sz val="10"/>
        <color theme="1"/>
        <rFont val="Consolas"/>
        <family val="3"/>
        <charset val="204"/>
      </rPr>
      <t xml:space="preserve">в существующий телекоммуникационный шкаф/стойку </t>
    </r>
  </si>
  <si>
    <r>
      <t xml:space="preserve">Монтаж оборудования  </t>
    </r>
    <r>
      <rPr>
        <sz val="10"/>
        <color rgb="FF0000FF"/>
        <rFont val="Consolas"/>
        <family val="3"/>
        <charset val="204"/>
      </rPr>
      <t>1-4U включительно</t>
    </r>
    <r>
      <rPr>
        <sz val="10"/>
        <color theme="1"/>
        <rFont val="Consolas"/>
        <family val="3"/>
        <charset val="204"/>
      </rPr>
      <t xml:space="preserve">, в существующий телекоммуникационный шкаф/место/стойку </t>
    </r>
  </si>
  <si>
    <r>
      <t>ПИР, СМР. Установка коммутатора  доступа, VoIP шлюза до 72 портов FXO/ FXS, ОРШ, платы расширения, OLT,  коммутатора агрегации, оптического мультиплексора (4хЕ1, 2хFE), медиаконвертера,</t>
    </r>
    <r>
      <rPr>
        <b/>
        <sz val="10"/>
        <color theme="1"/>
        <rFont val="Consolas"/>
        <family val="3"/>
        <charset val="204"/>
      </rPr>
      <t xml:space="preserve"> </t>
    </r>
    <r>
      <rPr>
        <b/>
        <sz val="10"/>
        <color rgb="FF0000FF"/>
        <rFont val="Consolas"/>
        <family val="3"/>
        <charset val="204"/>
      </rPr>
      <t>конвертера УСПД телеметрии свыше 8 портов;</t>
    </r>
    <r>
      <rPr>
        <sz val="10"/>
        <color theme="1"/>
        <rFont val="Consolas"/>
        <family val="3"/>
        <charset val="204"/>
      </rPr>
      <t xml:space="preserve">  оборудование стоечного исполнения: ИБП, HDSL модем, ADSL модем, ONT , L3 СРЕ, оборудование Wi-Fi и пр. СМР, ПНР, включая  монтаж SFP и стоимость материалов и кабеля, </t>
    </r>
    <r>
      <rPr>
        <sz val="10"/>
        <color rgb="FF0000FF"/>
        <rFont val="Consolas"/>
        <family val="3"/>
        <charset val="204"/>
      </rPr>
      <t>без учета стоимости оборудования</t>
    </r>
    <r>
      <rPr>
        <sz val="10"/>
        <color theme="1"/>
        <rFont val="Consolas"/>
        <family val="3"/>
        <charset val="204"/>
      </rPr>
      <t>. Монтаж оборудования   в существующую стойку (шкаф), подключение  электропитания от существующего источника питания;  подключение к каналообразующему оборудованию.  Оформление исполнительной документации.</t>
    </r>
  </si>
  <si>
    <r>
      <t xml:space="preserve">Установка  коммутатора  доступа на 24 порта/ СПВ-конвертера и патч-панели на 24 порта, блока розеток,  в существующий шкаф,  включая монтаж SFP и стоимость материалов и кабеля, </t>
    </r>
    <r>
      <rPr>
        <sz val="10"/>
        <color rgb="FF0000FF"/>
        <rFont val="Consolas"/>
        <family val="3"/>
        <charset val="204"/>
      </rPr>
      <t>без учета стоимости оборудования</t>
    </r>
    <r>
      <rPr>
        <sz val="10"/>
        <rFont val="Consolas"/>
        <family val="3"/>
        <charset val="204"/>
      </rPr>
      <t>, подключение  электропитания от существующего источника питания;  подключение к сети передачи данных.  Оформление  разрешительных документов (по требованию Заказчика), исполнительной документации.</t>
    </r>
  </si>
  <si>
    <r>
      <t xml:space="preserve">ёмкостью </t>
    </r>
    <r>
      <rPr>
        <sz val="10"/>
        <color rgb="FF0000FF"/>
        <rFont val="Consolas"/>
        <family val="3"/>
        <charset val="204"/>
      </rPr>
      <t>от 256-512</t>
    </r>
    <r>
      <rPr>
        <sz val="10"/>
        <color theme="1"/>
        <rFont val="Consolas"/>
        <family val="3"/>
        <charset val="204"/>
      </rPr>
      <t xml:space="preserve"> портов (включительно)</t>
    </r>
  </si>
  <si>
    <r>
      <t xml:space="preserve">ёмкостью </t>
    </r>
    <r>
      <rPr>
        <sz val="10"/>
        <color rgb="FF0000FF"/>
        <rFont val="Consolas"/>
        <family val="3"/>
        <charset val="204"/>
      </rPr>
      <t>от 512- 2048</t>
    </r>
    <r>
      <rPr>
        <sz val="10"/>
        <color theme="1"/>
        <rFont val="Consolas"/>
        <family val="3"/>
        <charset val="204"/>
      </rPr>
      <t xml:space="preserve"> портов (влючительно)</t>
    </r>
  </si>
  <si>
    <r>
      <t xml:space="preserve">ёмкостью </t>
    </r>
    <r>
      <rPr>
        <sz val="10"/>
        <color rgb="FF0000FF"/>
        <rFont val="Consolas"/>
        <family val="3"/>
        <charset val="204"/>
      </rPr>
      <t xml:space="preserve">до 256 </t>
    </r>
    <r>
      <rPr>
        <sz val="10"/>
        <color theme="1"/>
        <rFont val="Consolas"/>
        <family val="3"/>
        <charset val="204"/>
      </rPr>
      <t>портов (включительно)</t>
    </r>
  </si>
  <si>
    <r>
      <t xml:space="preserve"> Монтаж АТС, MSAN (</t>
    </r>
    <r>
      <rPr>
        <sz val="10"/>
        <color rgb="FF0000FF"/>
        <rFont val="Consolas"/>
        <family val="3"/>
        <charset val="204"/>
      </rPr>
      <t>без учета стоимости оборудования</t>
    </r>
    <r>
      <rPr>
        <sz val="10"/>
        <color theme="1"/>
        <rFont val="Consolas"/>
        <family val="3"/>
        <charset val="204"/>
      </rPr>
      <t>)</t>
    </r>
  </si>
  <si>
    <r>
      <t xml:space="preserve">Установка, монтаж и расшивка патч-панели </t>
    </r>
    <r>
      <rPr>
        <sz val="10"/>
        <color rgb="FF0000FF"/>
        <rFont val="Consolas"/>
        <family val="3"/>
        <charset val="204"/>
      </rPr>
      <t>24 порта</t>
    </r>
  </si>
  <si>
    <r>
      <t xml:space="preserve">Демонтаж телекоммуникационного  шкафа, телекоммуникационной стойки: </t>
    </r>
    <r>
      <rPr>
        <sz val="10"/>
        <color rgb="FF0000FF"/>
        <rFont val="Consolas"/>
        <family val="3"/>
        <charset val="204"/>
      </rPr>
      <t>до 24 U</t>
    </r>
    <r>
      <rPr>
        <sz val="10"/>
        <color theme="1"/>
        <rFont val="Consolas"/>
        <family val="3"/>
        <charset val="204"/>
      </rPr>
      <t xml:space="preserve"> включительно</t>
    </r>
  </si>
  <si>
    <r>
      <t xml:space="preserve">Демонтаж телекоммуникационного  шкафа, телекоммуникационной стойки: </t>
    </r>
    <r>
      <rPr>
        <sz val="10"/>
        <color rgb="FF0000FF"/>
        <rFont val="Consolas"/>
        <family val="3"/>
        <charset val="204"/>
      </rPr>
      <t>до 48 U</t>
    </r>
    <r>
      <rPr>
        <sz val="10"/>
        <color theme="1"/>
        <rFont val="Consolas"/>
        <family val="3"/>
        <charset val="204"/>
      </rPr>
      <t xml:space="preserve"> включительно</t>
    </r>
  </si>
  <si>
    <r>
      <t xml:space="preserve">ПИР, СМР. Демонтаж оборудования размером </t>
    </r>
    <r>
      <rPr>
        <sz val="10"/>
        <color rgb="FF0000FF"/>
        <rFont val="Consolas"/>
        <family val="3"/>
        <charset val="204"/>
      </rPr>
      <t xml:space="preserve">1-4 U </t>
    </r>
    <r>
      <rPr>
        <sz val="10"/>
        <color theme="1"/>
        <rFont val="Consolas"/>
        <family val="3"/>
        <charset val="204"/>
      </rPr>
      <t>(включительно), оформление акта сдачи-приемки заказчику.</t>
    </r>
  </si>
  <si>
    <r>
      <t>Устройство абонентской линии в Домохозяйство (ДХ) кабелем типа UTP/FTP Cat 5е (</t>
    </r>
    <r>
      <rPr>
        <sz val="10"/>
        <color rgb="FF0000FF"/>
        <rFont val="Consolas"/>
        <family val="3"/>
        <charset val="204"/>
      </rPr>
      <t>до 4 пар</t>
    </r>
    <r>
      <rPr>
        <sz val="10"/>
        <color theme="1"/>
        <rFont val="Consolas"/>
        <family val="3"/>
        <charset val="204"/>
      </rPr>
      <t>)</t>
    </r>
    <r>
      <rPr>
        <sz val="10"/>
        <color rgb="FF0000FF"/>
        <rFont val="Consolas"/>
        <family val="3"/>
        <charset val="204"/>
      </rPr>
      <t xml:space="preserve"> открытым способом/ по существующим, установленным конструкциям (трубе/коробу/кабель-каналу)</t>
    </r>
    <r>
      <rPr>
        <sz val="10"/>
        <color theme="1"/>
        <rFont val="Consolas"/>
        <family val="3"/>
        <charset val="204"/>
      </rPr>
      <t>, с выводом на абонентскую розетку типа RJ или на абонентскую коробку не оборудованную розеткой 220 В, включая запас 5 м в ДХ.</t>
    </r>
  </si>
  <si>
    <r>
      <t xml:space="preserve">Устройство абонентской линии в Домохозяйство (ДХ) кабелем типа UTP/FTP Cat 5е </t>
    </r>
    <r>
      <rPr>
        <sz val="10"/>
        <color rgb="FF0000FF"/>
        <rFont val="Consolas"/>
        <family val="3"/>
        <charset val="204"/>
      </rPr>
      <t>(до 4 пар) с установкой конструкций (трубы/короба/кабель-канала)</t>
    </r>
    <r>
      <rPr>
        <sz val="10"/>
        <color theme="1"/>
        <rFont val="Consolas"/>
        <family val="3"/>
        <charset val="204"/>
      </rPr>
      <t>, с выводом на абонентскую розетку типа RJ или на абонентскую коробку не оборудованную розеткой 220 В, включая запас 5 м в ДХ.</t>
    </r>
  </si>
  <si>
    <r>
      <t xml:space="preserve">Устройство абонентской линии в Домохозяйство (ДХ) кабелем типа UTP/FTP Cat 5е </t>
    </r>
    <r>
      <rPr>
        <sz val="10"/>
        <color rgb="FF0000FF"/>
        <rFont val="Consolas"/>
        <family val="3"/>
        <charset val="204"/>
      </rPr>
      <t>(до 4 пар) по стене с устройством и заделкой борозды, восстановлением поверхности,</t>
    </r>
    <r>
      <rPr>
        <sz val="10"/>
        <color theme="1"/>
        <rFont val="Consolas"/>
        <family val="3"/>
        <charset val="204"/>
      </rPr>
      <t xml:space="preserve"> с выводом на абонентскую розетку типа RJ или на абонентскую коробку не оборудованную розеткой 220 В, включая запас 5 м в ДХ.</t>
    </r>
  </si>
  <si>
    <r>
      <t xml:space="preserve">Устройство оптической абонентской линии </t>
    </r>
    <r>
      <rPr>
        <sz val="10"/>
        <color rgb="FF0000FF"/>
        <rFont val="Consolas"/>
        <family val="3"/>
        <charset val="204"/>
      </rPr>
      <t>GPON/P2P</t>
    </r>
    <r>
      <rPr>
        <sz val="10"/>
        <color theme="1"/>
        <rFont val="Consolas"/>
        <family val="3"/>
        <charset val="204"/>
      </rPr>
      <t xml:space="preserve"> в Домохозяйство (ДХ) </t>
    </r>
    <r>
      <rPr>
        <sz val="10"/>
        <color rgb="FF0000FF"/>
        <rFont val="Consolas"/>
        <family val="3"/>
        <charset val="204"/>
      </rPr>
      <t>открытым способом/ по существующим, установленным конструкциям (трубе/коробу/кабель-каналу)</t>
    </r>
    <r>
      <rPr>
        <sz val="10"/>
        <color theme="1"/>
        <rFont val="Consolas"/>
        <family val="3"/>
        <charset val="204"/>
      </rPr>
      <t>, с выводом на абонентскую оптическую розетку или на абонентскую коробку не оборудованную розеткой 220 В, включая запас 5 м в ДХ.</t>
    </r>
  </si>
  <si>
    <r>
      <t xml:space="preserve">Устройство оптической абонентской линии </t>
    </r>
    <r>
      <rPr>
        <sz val="10"/>
        <color rgb="FF0000FF"/>
        <rFont val="Consolas"/>
        <family val="3"/>
        <charset val="204"/>
      </rPr>
      <t xml:space="preserve">GPON/P2P </t>
    </r>
    <r>
      <rPr>
        <sz val="10"/>
        <color theme="1"/>
        <rFont val="Consolas"/>
        <family val="3"/>
        <charset val="204"/>
      </rPr>
      <t>в Домохозяйство (ДХ)</t>
    </r>
    <r>
      <rPr>
        <sz val="10"/>
        <color rgb="FF0000FF"/>
        <rFont val="Consolas"/>
        <family val="3"/>
        <charset val="204"/>
      </rPr>
      <t xml:space="preserve"> с установкой конструкций (трубы/короба/кабель-канала</t>
    </r>
    <r>
      <rPr>
        <sz val="10"/>
        <color theme="1"/>
        <rFont val="Consolas"/>
        <family val="3"/>
        <charset val="204"/>
      </rPr>
      <t>), с выводом на абонентскую оптическую розетку  или на абонентскую коробку не оборудованную розеткой 220 В, включая запас 5 м в ДХ.</t>
    </r>
  </si>
  <si>
    <r>
      <t xml:space="preserve">Устройство оптической абонентской линии </t>
    </r>
    <r>
      <rPr>
        <sz val="10"/>
        <color rgb="FF0000FF"/>
        <rFont val="Consolas"/>
        <family val="3"/>
        <charset val="204"/>
      </rPr>
      <t>GPON/P2P</t>
    </r>
    <r>
      <rPr>
        <sz val="10"/>
        <color theme="1"/>
        <rFont val="Consolas"/>
        <family val="3"/>
        <charset val="204"/>
      </rPr>
      <t xml:space="preserve"> в Домохозяйство (ДХ) по стене </t>
    </r>
    <r>
      <rPr>
        <sz val="10"/>
        <color rgb="FF0000FF"/>
        <rFont val="Consolas"/>
        <family val="3"/>
        <charset val="204"/>
      </rPr>
      <t>с устройством и заделкой борозды, восстановлением поверхности,</t>
    </r>
    <r>
      <rPr>
        <sz val="10"/>
        <color theme="1"/>
        <rFont val="Consolas"/>
        <family val="3"/>
        <charset val="204"/>
      </rPr>
      <t xml:space="preserve"> с выводом на абонентскую оптическую розетку  или на абонентскую коробку не оборудованную розеткой 220 В, включая запас 5 м в ДХ.</t>
    </r>
  </si>
  <si>
    <r>
      <t xml:space="preserve">Устройство абонентской линии в Домохозяйство (ДХ) кабелем типа UTP/FTP Cat 5е </t>
    </r>
    <r>
      <rPr>
        <sz val="10"/>
        <color rgb="FF0000FF"/>
        <rFont val="Consolas"/>
        <family val="3"/>
        <charset val="204"/>
      </rPr>
      <t>(св. 4 до 8 пар) открытым способом/ по существующим, установленным конструкциям (трубе/коробу/кабель-каналу)</t>
    </r>
    <r>
      <rPr>
        <sz val="10"/>
        <color theme="1"/>
        <rFont val="Consolas"/>
        <family val="3"/>
        <charset val="204"/>
      </rPr>
      <t>, с выводом на абонентскую розетку типа RJ  или на абонентскую коробку не оборудованную розеткой 220 В, включая запас 5 м в ДХ.</t>
    </r>
  </si>
  <si>
    <r>
      <t xml:space="preserve">Устройство абонентской линии в Домохозяйство (ДХ) кабелем типа UTP/FTP Cat 5е </t>
    </r>
    <r>
      <rPr>
        <sz val="10"/>
        <color rgb="FF0000FF"/>
        <rFont val="Consolas"/>
        <family val="3"/>
        <charset val="204"/>
      </rPr>
      <t>(св. 4 до 8 пар) с установкой конструкций (трубы/короба/кабель-канала)</t>
    </r>
    <r>
      <rPr>
        <sz val="10"/>
        <color theme="1"/>
        <rFont val="Consolas"/>
        <family val="3"/>
        <charset val="204"/>
      </rPr>
      <t>, с выводом на абонентскую розетку типа RJ  или на абонентскую коробку не оборудованную розеткой 220 В, включая запас 5 м в ДХ.</t>
    </r>
  </si>
  <si>
    <r>
      <t xml:space="preserve">Устройство абонентской линии в Домохозяйство (ДХ) кабелем типа UTP/FTP Cat 5е </t>
    </r>
    <r>
      <rPr>
        <sz val="10"/>
        <color rgb="FF0000FF"/>
        <rFont val="Consolas"/>
        <family val="3"/>
        <charset val="204"/>
      </rPr>
      <t>(св. 4 до 8 пар) по стене с устройством и заделкой борозды, восстановлением поверхности</t>
    </r>
    <r>
      <rPr>
        <sz val="10"/>
        <color theme="1"/>
        <rFont val="Consolas"/>
        <family val="3"/>
        <charset val="204"/>
      </rPr>
      <t>, с выводом на абонентскую розетку типа RJ или на абонентскую коробку не оборудованную розеткой 220 В, включая запас 5 м в ДХ.</t>
    </r>
  </si>
  <si>
    <r>
      <t xml:space="preserve">Устройство абонентской линии КТВ в Домохозяйство (ДХ) кабелем </t>
    </r>
    <r>
      <rPr>
        <sz val="10"/>
        <color rgb="FF0000FF"/>
        <rFont val="Consolas"/>
        <family val="3"/>
        <charset val="204"/>
      </rPr>
      <t>типа RG-59/6 (или аналог) открытым способом/ по существующим, установленным конструкциям (трубе/коробу/кабель-каналу)</t>
    </r>
    <r>
      <rPr>
        <sz val="10"/>
        <color theme="1"/>
        <rFont val="Consolas"/>
        <family val="3"/>
        <charset val="204"/>
      </rPr>
      <t>, с оконечиванием разъемами F - типа/выводом на абонентскую розетку или на абонентскую коробку не оборудованную розеткой 220 В, включая запас 5 м в ДХ.</t>
    </r>
  </si>
  <si>
    <r>
      <t xml:space="preserve">Устройство абонентской линии КТВ в Домохозяйство (ДХ) кабелем </t>
    </r>
    <r>
      <rPr>
        <sz val="10"/>
        <color rgb="FF0000FF"/>
        <rFont val="Consolas"/>
        <family val="3"/>
        <charset val="204"/>
      </rPr>
      <t>типа RG-59/6 (или аналог) с установкой конструкций (трубы/короба/кабель-канала)</t>
    </r>
    <r>
      <rPr>
        <sz val="10"/>
        <color theme="1"/>
        <rFont val="Consolas"/>
        <family val="3"/>
        <charset val="204"/>
      </rPr>
      <t>,  с оконечиванием разъемами F - типа/выводом на абонентскую розетку или на абонентскую коробку не оборудованную розеткой 220 В, включая запас 5 м в ДХ.</t>
    </r>
  </si>
  <si>
    <r>
      <t xml:space="preserve">Устройство абонентской линии КТВ в Домохозяйство (ДХ) кабелем </t>
    </r>
    <r>
      <rPr>
        <sz val="10"/>
        <color rgb="FF0000FF"/>
        <rFont val="Consolas"/>
        <family val="3"/>
        <charset val="204"/>
      </rPr>
      <t>типа RG-59/6 (или аналог) по стене с устройством и заделкой борозды, восстановлением поверхности,</t>
    </r>
    <r>
      <rPr>
        <sz val="10"/>
        <color theme="1"/>
        <rFont val="Consolas"/>
        <family val="3"/>
        <charset val="204"/>
      </rPr>
      <t xml:space="preserve"> с оконечиванием разъемами F - типа/выводом на абонентскую розетку или на абонентскую коробку не оборудованную розеткой 220 В, включая запас 5 м в ДХ.</t>
    </r>
  </si>
  <si>
    <r>
      <t xml:space="preserve">Устройство линии кабелем типа UTP/FTP Cat 5е </t>
    </r>
    <r>
      <rPr>
        <sz val="10"/>
        <color rgb="FF0000FF"/>
        <rFont val="Consolas"/>
        <family val="3"/>
        <charset val="204"/>
      </rPr>
      <t>(до 4 пар)  по стене с креплением скобами (открытая проводка)</t>
    </r>
    <r>
      <rPr>
        <sz val="10"/>
        <color theme="1"/>
        <rFont val="Consolas"/>
        <family val="3"/>
        <charset val="204"/>
      </rPr>
      <t xml:space="preserve"> с оконцовкой коннектором типа RJ или розеткой типа RJ</t>
    </r>
  </si>
  <si>
    <r>
      <t xml:space="preserve">Устройство линии кабелем типа UTP/FTP Cat 5е </t>
    </r>
    <r>
      <rPr>
        <sz val="10"/>
        <color rgb="FF0000FF"/>
        <rFont val="Consolas"/>
        <family val="3"/>
        <charset val="204"/>
      </rPr>
      <t>(до 4 пар)  по стене с устройством и заделкой борозды с креплением  скобами (скрытая проводка)</t>
    </r>
    <r>
      <rPr>
        <sz val="10"/>
        <color theme="1"/>
        <rFont val="Consolas"/>
        <family val="3"/>
        <charset val="204"/>
      </rPr>
      <t xml:space="preserve"> с оконцовкой коннектором типа RJ или розеткой типа RJ</t>
    </r>
  </si>
  <si>
    <r>
      <t xml:space="preserve">Устройство линии кабелем типа UTP/FTP Cat 5е </t>
    </r>
    <r>
      <rPr>
        <sz val="10"/>
        <color rgb="FF0000FF"/>
        <rFont val="Consolas"/>
        <family val="3"/>
        <charset val="204"/>
      </rPr>
      <t>(до 4 пар)  по конструкциям (труба/короб/гофра) с их установкой</t>
    </r>
    <r>
      <rPr>
        <sz val="10"/>
        <rFont val="Consolas"/>
        <family val="3"/>
        <charset val="204"/>
      </rPr>
      <t>, с оконцовкой коннектором типа RJ или розеткой типа RJ</t>
    </r>
  </si>
  <si>
    <r>
      <t xml:space="preserve">Устройство линии кабелем типа UTP/FTP Cat 5е </t>
    </r>
    <r>
      <rPr>
        <sz val="10"/>
        <color rgb="FF0000FF"/>
        <rFont val="Consolas"/>
        <family val="3"/>
        <charset val="204"/>
      </rPr>
      <t>(до 4 пар)  по установленным конструкциям (труба/канал/гофра)</t>
    </r>
    <r>
      <rPr>
        <sz val="10"/>
        <rFont val="Consolas"/>
        <family val="3"/>
        <charset val="204"/>
      </rPr>
      <t xml:space="preserve"> с оконцовкой коннектором типа RJ или розеткой типа RJ</t>
    </r>
  </si>
  <si>
    <r>
      <t xml:space="preserve">Устройство линии кабелем типа UTP/FTP Cat 5 </t>
    </r>
    <r>
      <rPr>
        <sz val="10"/>
        <color rgb="FF0000FF"/>
        <rFont val="Consolas"/>
        <family val="3"/>
        <charset val="204"/>
      </rPr>
      <t>(св. 4 до 8 пар)  по стене с креплением скобами (открытая проводка)</t>
    </r>
    <r>
      <rPr>
        <sz val="10"/>
        <rFont val="Consolas"/>
        <family val="3"/>
        <charset val="204"/>
      </rPr>
      <t xml:space="preserve"> с оконцовкой коннектором типа RJ или розеткой типа RJ</t>
    </r>
  </si>
  <si>
    <r>
      <t>Устройство линии кабелем типа UTP/F</t>
    </r>
    <r>
      <rPr>
        <sz val="10"/>
        <rFont val="Consolas"/>
        <family val="3"/>
        <charset val="204"/>
      </rPr>
      <t xml:space="preserve">TP Cat 5 </t>
    </r>
    <r>
      <rPr>
        <sz val="10"/>
        <color rgb="FF0000FF"/>
        <rFont val="Consolas"/>
        <family val="3"/>
        <charset val="204"/>
      </rPr>
      <t>(св.4 до 8 пар)</t>
    </r>
    <r>
      <rPr>
        <sz val="10"/>
        <rFont val="Consolas"/>
        <family val="3"/>
        <charset val="204"/>
      </rPr>
      <t xml:space="preserve"> </t>
    </r>
    <r>
      <rPr>
        <sz val="10"/>
        <color rgb="FF0000FF"/>
        <rFont val="Consolas"/>
        <family val="3"/>
        <charset val="204"/>
      </rPr>
      <t xml:space="preserve"> по стене с устройством и заделкой борозды с креплением  скобами (скрытая проводка)</t>
    </r>
    <r>
      <rPr>
        <sz val="10"/>
        <rFont val="Consolas"/>
        <family val="3"/>
        <charset val="204"/>
      </rPr>
      <t xml:space="preserve"> с оконцовкой коннектором типа RJ или розеткой типа RJ</t>
    </r>
  </si>
  <si>
    <r>
      <t>Устройство линии кабелем типа UTP/FTP C</t>
    </r>
    <r>
      <rPr>
        <sz val="10"/>
        <color theme="1"/>
        <rFont val="Consolas"/>
        <family val="3"/>
        <charset val="204"/>
      </rPr>
      <t xml:space="preserve">at 5е </t>
    </r>
    <r>
      <rPr>
        <sz val="10"/>
        <color rgb="FF0000FF"/>
        <rFont val="Consolas"/>
        <family val="3"/>
        <charset val="204"/>
      </rPr>
      <t>(св.4 до 8 пар) по установленным конструкциям (труба/канал/гофра)</t>
    </r>
    <r>
      <rPr>
        <sz val="10"/>
        <rFont val="Consolas"/>
        <family val="3"/>
        <charset val="204"/>
      </rPr>
      <t xml:space="preserve"> с оконцовкой коннектором типа RJ или розеткой типа RJ</t>
    </r>
  </si>
  <si>
    <r>
      <t xml:space="preserve">Устройство линии кабелем типа UTP/FTP Cat 5е </t>
    </r>
    <r>
      <rPr>
        <sz val="10"/>
        <color rgb="FF0000FF"/>
        <rFont val="Consolas"/>
        <family val="3"/>
        <charset val="204"/>
      </rPr>
      <t>(св.4 до 8 пар) по конструкциям (труба/короб/гофра) с их установкой</t>
    </r>
    <r>
      <rPr>
        <sz val="10"/>
        <color theme="1"/>
        <rFont val="Consolas"/>
        <family val="3"/>
        <charset val="204"/>
      </rPr>
      <t>, с оконцовкой коннектором типа RJ или розеткой типа RJ</t>
    </r>
  </si>
  <si>
    <r>
      <t xml:space="preserve">СМР, ПИР, Прочие затраты, не ограничиваясь перечисленным  (включая стоимость кабеля и прочих материалов): Прокладка кабеля по шахте лифта,  с учетом стоимости разделки,  устройства отверстий в стенах  (с установкой гильз),  заделки,  стоимости кабеля (UTP/КПЛК, аналог), патчкорда, всех материалов. Проверка состояния изоляции кабеля до и после прокладки. Маркировка. </t>
    </r>
    <r>
      <rPr>
        <sz val="10"/>
        <color rgb="FF0000FF"/>
        <rFont val="Consolas"/>
        <family val="3"/>
        <charset val="204"/>
      </rPr>
      <t>Без стоимости оборудования.</t>
    </r>
    <r>
      <rPr>
        <sz val="10"/>
        <rFont val="Consolas"/>
        <family val="3"/>
        <charset val="204"/>
      </rPr>
      <t xml:space="preserve"> Оформление разрешительных документов, исполнительной документации.</t>
    </r>
  </si>
  <si>
    <r>
      <t xml:space="preserve">Устройство оптической линии/прокладка оптического патчкорда (duplex/simpex, любой разъем, любая полировка) внутри здания </t>
    </r>
    <r>
      <rPr>
        <sz val="10"/>
        <color rgb="FF0000FF"/>
        <rFont val="Consolas"/>
        <family val="3"/>
        <charset val="204"/>
      </rPr>
      <t>по стенам/ существующим установленным конструкциям (трубам/коробам/кабель-каналам)</t>
    </r>
  </si>
  <si>
    <r>
      <t xml:space="preserve">Устройство оптической линии/прокладка оптического патчкорда (duplex/simpex, любой разъем, любая полировка) внутри здания </t>
    </r>
    <r>
      <rPr>
        <sz val="10"/>
        <color rgb="FF0000FF"/>
        <rFont val="Consolas"/>
        <family val="3"/>
        <charset val="204"/>
      </rPr>
      <t>с установкой конструкций (труб/коробов/кабель-каналов)</t>
    </r>
  </si>
  <si>
    <r>
      <t xml:space="preserve">Прокладка и монтаж коаксиального кабеля </t>
    </r>
    <r>
      <rPr>
        <sz val="10"/>
        <color rgb="FF0000FF"/>
        <rFont val="Consolas"/>
        <family val="3"/>
        <charset val="204"/>
      </rPr>
      <t>по установленным конструкциям (трубам, коробам и т.д.)</t>
    </r>
  </si>
  <si>
    <r>
      <t>Прокладка и монтаж коаксиального кабеля</t>
    </r>
    <r>
      <rPr>
        <sz val="10"/>
        <color rgb="FF0000FF"/>
        <rFont val="Consolas"/>
        <family val="3"/>
        <charset val="204"/>
      </rPr>
      <t xml:space="preserve"> с установкой конструкций (труб, коробов и т.д.)</t>
    </r>
  </si>
  <si>
    <r>
      <t>СМР, ПИР, не ограничиваясь перечисленным; подготовка места установки, установка и монтаж вызывной панели (включая крепежные материалы и изделия,</t>
    </r>
    <r>
      <rPr>
        <sz val="10"/>
        <color rgb="FF0000FF"/>
        <rFont val="Consolas"/>
        <family val="3"/>
        <charset val="204"/>
      </rPr>
      <t xml:space="preserve"> в т.ч. защитный кожух</t>
    </r>
    <r>
      <rPr>
        <sz val="10"/>
        <color theme="1"/>
        <rFont val="Consolas"/>
        <family val="3"/>
        <charset val="204"/>
      </rPr>
      <t xml:space="preserve">), включение электропитания. Оформление разрешительных документов, исполнительной документации.
</t>
    </r>
    <r>
      <rPr>
        <sz val="10"/>
        <color rgb="FF0000FF"/>
        <rFont val="Consolas"/>
        <family val="3"/>
        <charset val="204"/>
      </rPr>
      <t xml:space="preserve">Без стоимости оборудования. Прокладка и монтаж кабелей данной расценкой не учитываются.   </t>
    </r>
  </si>
  <si>
    <r>
      <t xml:space="preserve">СМР, ПИР, не ограничиваясь перечисленным; демонтаж старой панели, подготовка/переустройство  места установки новой панели, установка и монтаж вызывной панели (включая крепежные материалы и изделия, переходные пластины, монтажные кожухи, необходимые строительные материалы), включение электропитания. Оформление разрешительных документов, исполнительной документации. </t>
    </r>
    <r>
      <rPr>
        <sz val="10"/>
        <color rgb="FF0000FF"/>
        <rFont val="Consolas"/>
        <family val="3"/>
        <charset val="204"/>
      </rPr>
      <t>Без стоимости оборудования.</t>
    </r>
    <r>
      <rPr>
        <sz val="10"/>
        <color theme="1"/>
        <rFont val="Consolas"/>
        <family val="3"/>
        <charset val="204"/>
      </rPr>
      <t xml:space="preserve"> </t>
    </r>
    <r>
      <rPr>
        <sz val="10"/>
        <color rgb="FF0000FF"/>
        <rFont val="Consolas"/>
        <family val="3"/>
        <charset val="204"/>
      </rPr>
      <t xml:space="preserve">Прокладка и монтаж кабелей данной расценкой не учитываются. </t>
    </r>
    <r>
      <rPr>
        <sz val="10"/>
        <color theme="1"/>
        <rFont val="Consolas"/>
        <family val="3"/>
        <charset val="204"/>
      </rPr>
      <t xml:space="preserve">  </t>
    </r>
  </si>
  <si>
    <r>
      <t xml:space="preserve">СМР, ПИР,  не ограничиваясь перечисленным; установка и монтаж блока питания (включая крепежные материалы и изделия), включение электропитания. Оформление разрешительных документов, исполнительной документации. </t>
    </r>
    <r>
      <rPr>
        <sz val="10"/>
        <color rgb="FF0000FF"/>
        <rFont val="Consolas"/>
        <family val="3"/>
        <charset val="204"/>
      </rPr>
      <t xml:space="preserve">Без стоимости оборудования. Прокладка и монтаж кабелей данной расценкой не учитываются.   </t>
    </r>
  </si>
  <si>
    <r>
      <t xml:space="preserve">СМР, ПИР,  не ограничиваясь перечисленным;  установка и монтаж контроллера/коммутатора координатно-матричного (включая крепежные материалы и изделия). Оформление разрешительных документов, исполнительной документации. </t>
    </r>
    <r>
      <rPr>
        <sz val="10"/>
        <color rgb="FF0000FF"/>
        <rFont val="Consolas"/>
        <family val="3"/>
        <charset val="204"/>
      </rPr>
      <t xml:space="preserve">Без стоимости оборудования. </t>
    </r>
  </si>
  <si>
    <r>
      <t xml:space="preserve">СМР, ПИР,  не ограничиваясь перечисленным; подготовка места установки, установка и монтаж кнопки выхода/считывателя (включая крепежные материалы и изделия). Оформление разрешительных документов, исполнительной документации. </t>
    </r>
    <r>
      <rPr>
        <sz val="10"/>
        <color rgb="FF0000FF"/>
        <rFont val="Consolas"/>
        <family val="3"/>
        <charset val="204"/>
      </rPr>
      <t>Без стоимости оборудования. Прокладка и монтаж кабелей данной расценкой не учитываются.</t>
    </r>
    <r>
      <rPr>
        <sz val="10"/>
        <color theme="1"/>
        <rFont val="Consolas"/>
        <family val="3"/>
        <charset val="204"/>
      </rPr>
      <t xml:space="preserve">   </t>
    </r>
  </si>
  <si>
    <r>
      <t xml:space="preserve">СМР, ПИР, не ограничиваясь перечисленным; подготовка места установки, установка и монтаж электромагнитного замка с кнопкой аварийного выхода (включая кабель, </t>
    </r>
    <r>
      <rPr>
        <sz val="10"/>
        <color rgb="FF0000FF"/>
        <rFont val="Consolas"/>
        <family val="3"/>
        <charset val="204"/>
      </rPr>
      <t>диод</t>
    </r>
    <r>
      <rPr>
        <sz val="10"/>
        <color theme="1"/>
        <rFont val="Consolas"/>
        <family val="3"/>
        <charset val="204"/>
      </rPr>
      <t>,  крепежные материалы и изделия). Оформление разрешительных документов, исполнительной документации.</t>
    </r>
    <r>
      <rPr>
        <sz val="10"/>
        <color rgb="FF0000FF"/>
        <rFont val="Consolas"/>
        <family val="3"/>
        <charset val="204"/>
      </rPr>
      <t xml:space="preserve"> Без стоимости оборудования.</t>
    </r>
  </si>
  <si>
    <r>
      <t>СМР: Работы по подключению, переключению, настройки, замене  аудиотрубки, с учетом стоимости крепежных материалов. Не ограничиваясь перечисленным; определение полярности аб. устройства, перекоммутация в распределительном щитке в соответствии со схемой подключения, проверка работоспособности (качество сигнала, кнопки открытия).</t>
    </r>
    <r>
      <rPr>
        <sz val="10"/>
        <color rgb="FF0000FF"/>
        <rFont val="Consolas"/>
        <family val="3"/>
        <charset val="204"/>
      </rPr>
      <t xml:space="preserve"> Прокладка кабеля от распределительной коробки производится по расценкам: 6.67-6.69</t>
    </r>
  </si>
  <si>
    <r>
      <t xml:space="preserve">СМР: Работы по  монтажу, подключению, настройки аудиотрубки к системе домофона, с учетом стоимости аудиотрубки и крепежных материалов. Не ограничиваясь перечисленным; коммутация в распределительном щитке в соответствии со схемой подключения, проверка работоспособности (качество сигнала, кнопки открытия). </t>
    </r>
    <r>
      <rPr>
        <sz val="10"/>
        <color rgb="FF0000FF"/>
        <rFont val="Consolas"/>
        <family val="3"/>
        <charset val="204"/>
      </rPr>
      <t>Прокладка кабеля от распределительной коробки производится по расценкам: 6.67-6.69</t>
    </r>
  </si>
  <si>
    <r>
      <t xml:space="preserve">СМР: Работы по подключению, переключению, настройки, абонентской панели видеодомофона, с учетом стоимости крепежных материалов. Не ограничиваясь перечисленным; определение полярности аб. устройства, перекоммутация в распределительном щитке в соответствии со схемой подключения, проверка работоспособности (качество видеосигнала, кнопки открытия, при необходимости установка усилителя). </t>
    </r>
    <r>
      <rPr>
        <sz val="10"/>
        <color rgb="FF0000FF"/>
        <rFont val="Consolas"/>
        <family val="3"/>
        <charset val="204"/>
      </rPr>
      <t xml:space="preserve">Прокладка и монтаж кабелей типа UTP данной расценкой не учтены. </t>
    </r>
  </si>
  <si>
    <r>
      <t xml:space="preserve">Сборка и монтаж базовой радиостанции </t>
    </r>
    <r>
      <rPr>
        <sz val="10"/>
        <color rgb="FF0000FF"/>
        <rFont val="Consolas"/>
        <family val="3"/>
        <charset val="204"/>
      </rPr>
      <t xml:space="preserve">на проектируемых конструкциях с их монтажом  </t>
    </r>
  </si>
  <si>
    <r>
      <t xml:space="preserve">СМР, ПИР, Прочие затраты, в том числе ПНР, не ограничиваясь перечисленным: установка опорных конструкций (мачта) на крыше, стене или парапете(включая стоимость мачты с креплениями), монтаж антенны на мачте с юстировкой, монтаж выносного приемника, заземление, монтаж, настройка базовой станции, прокладка коаксиального кабеля от антенны до выносного приемника, включая стоимость основных и вспомогательных материалов. 
</t>
    </r>
    <r>
      <rPr>
        <sz val="10"/>
        <color rgb="FF0000FF"/>
        <rFont val="Consolas"/>
        <family val="3"/>
        <charset val="204"/>
      </rPr>
      <t xml:space="preserve">Стоимость оборудования данной расценкой не учтена. Прокладка и монтаж кабелей типа ВВГ и типа UTP/FTP данной расценкой не учтены. </t>
    </r>
  </si>
  <si>
    <r>
      <t xml:space="preserve">Сборка и монтаж базовой радиостанции </t>
    </r>
    <r>
      <rPr>
        <sz val="10"/>
        <color rgb="FF0000FF"/>
        <rFont val="Consolas"/>
        <family val="3"/>
        <charset val="204"/>
      </rPr>
      <t>на существующих конструкциях</t>
    </r>
  </si>
  <si>
    <r>
      <t xml:space="preserve">СМР, ПИР, Прочие затраты, в том числе ПНР, не ограничиваясь перечисленным:  монтаж антенны на существующей мачте/стойке с юстировкой, монтаж выносного приемника, заземление, монтаж, настройка базовой станции, прокладка коаксиального кабеля от антенны до выносного приемника, включая стоимость основных и вспомогательных материалов. 
</t>
    </r>
    <r>
      <rPr>
        <sz val="10"/>
        <color rgb="FF0000FF"/>
        <rFont val="Consolas"/>
        <family val="3"/>
        <charset val="204"/>
      </rPr>
      <t xml:space="preserve">Стоимость оборудования данной расценкой не учтена. Прокладка и монтаж кабелей типа ВВГ и типа UTP/FTP данной расценкой не учтены. </t>
    </r>
  </si>
  <si>
    <r>
      <t xml:space="preserve">Радиофикация подъездов в случае </t>
    </r>
    <r>
      <rPr>
        <sz val="10"/>
        <color rgb="FF0000FF"/>
        <rFont val="Consolas"/>
        <family val="3"/>
        <charset val="204"/>
      </rPr>
      <t>более 1-ого подъезда</t>
    </r>
    <r>
      <rPr>
        <sz val="10"/>
        <color rgb="FF000000"/>
        <rFont val="Consolas"/>
        <family val="3"/>
        <charset val="204"/>
      </rPr>
      <t xml:space="preserve"> в доме</t>
    </r>
  </si>
  <si>
    <r>
      <t xml:space="preserve">Прокладка провода трансляционного </t>
    </r>
    <r>
      <rPr>
        <sz val="10"/>
        <color rgb="FF0000FF"/>
        <rFont val="Consolas"/>
        <family val="3"/>
        <charset val="204"/>
      </rPr>
      <t>типа ПТВЖ (или аналог)</t>
    </r>
    <r>
      <rPr>
        <sz val="10"/>
        <color rgb="FF000000"/>
        <rFont val="Consolas"/>
        <family val="3"/>
        <charset val="204"/>
      </rPr>
      <t xml:space="preserve"> для радиофикации жилого дома/подключения аудиотрубки домофона от распределительной коробки; прокладка провода для систем телеметрии </t>
    </r>
    <r>
      <rPr>
        <sz val="10"/>
        <color rgb="FF0000FF"/>
        <rFont val="Consolas"/>
        <family val="3"/>
        <charset val="204"/>
      </rPr>
      <t>типа КПСВВнг(А)-LS (или аналог)</t>
    </r>
    <r>
      <rPr>
        <sz val="10"/>
        <color rgb="FF000000"/>
        <rFont val="Consolas"/>
        <family val="3"/>
        <charset val="204"/>
      </rPr>
      <t xml:space="preserve">; прокладка провода для реле УК-ВК типа </t>
    </r>
    <r>
      <rPr>
        <sz val="10"/>
        <color rgb="FF0000FF"/>
        <rFont val="Consolas"/>
        <family val="3"/>
        <charset val="204"/>
      </rPr>
      <t>КСРПнг(А)-FRHF(или аналог)</t>
    </r>
    <r>
      <rPr>
        <sz val="10"/>
        <color rgb="FF000000"/>
        <rFont val="Consolas"/>
        <family val="3"/>
        <charset val="204"/>
      </rPr>
      <t xml:space="preserve">, </t>
    </r>
    <r>
      <rPr>
        <sz val="10"/>
        <color rgb="FF0000FF"/>
        <rFont val="Consolas"/>
        <family val="3"/>
        <charset val="204"/>
      </rPr>
      <t>с устройством инфраструктуры</t>
    </r>
    <r>
      <rPr>
        <sz val="10"/>
        <color rgb="FF000000"/>
        <rFont val="Consolas"/>
        <family val="3"/>
        <charset val="204"/>
      </rPr>
      <t xml:space="preserve"> для прокладки провода</t>
    </r>
  </si>
  <si>
    <r>
      <t xml:space="preserve">Прокладка провода трансляционного </t>
    </r>
    <r>
      <rPr>
        <sz val="10"/>
        <color rgb="FF0000FF"/>
        <rFont val="Consolas"/>
        <family val="3"/>
        <charset val="204"/>
      </rPr>
      <t>типа ПТВЖ (или аналог)</t>
    </r>
    <r>
      <rPr>
        <sz val="10"/>
        <color rgb="FF000000"/>
        <rFont val="Consolas"/>
        <family val="3"/>
        <charset val="204"/>
      </rPr>
      <t xml:space="preserve"> для радиофикации жилого дома/подключения аудиотрубки домофона от распределительной коробки; прокладка провода для систем телеметрии т</t>
    </r>
    <r>
      <rPr>
        <sz val="10"/>
        <color rgb="FF0000FF"/>
        <rFont val="Consolas"/>
        <family val="3"/>
        <charset val="204"/>
      </rPr>
      <t>ипа КПСВВнг(А)-LS (или аналог)</t>
    </r>
    <r>
      <rPr>
        <sz val="10"/>
        <color rgb="FF000000"/>
        <rFont val="Consolas"/>
        <family val="3"/>
        <charset val="204"/>
      </rPr>
      <t xml:space="preserve">; прокладка провода для реле УК-ВК </t>
    </r>
    <r>
      <rPr>
        <sz val="10"/>
        <color rgb="FF0000FF"/>
        <rFont val="Consolas"/>
        <family val="3"/>
        <charset val="204"/>
      </rPr>
      <t>типа КСРПнг(А)-FRHF(или аналог)</t>
    </r>
    <r>
      <rPr>
        <sz val="10"/>
        <color rgb="FF000000"/>
        <rFont val="Consolas"/>
        <family val="3"/>
        <charset val="204"/>
      </rPr>
      <t xml:space="preserve">, </t>
    </r>
    <r>
      <rPr>
        <sz val="10"/>
        <color rgb="FF0000FF"/>
        <rFont val="Consolas"/>
        <family val="3"/>
        <charset val="204"/>
      </rPr>
      <t>в готовой инфраструктуре</t>
    </r>
  </si>
  <si>
    <r>
      <t xml:space="preserve">Прокладка провода трансляционного </t>
    </r>
    <r>
      <rPr>
        <sz val="10"/>
        <color rgb="FF0000FF"/>
        <rFont val="Consolas"/>
        <family val="3"/>
        <charset val="204"/>
      </rPr>
      <t>типа ПТВЖ (или аналог)</t>
    </r>
    <r>
      <rPr>
        <sz val="10"/>
        <color rgb="FF000000"/>
        <rFont val="Consolas"/>
        <family val="3"/>
        <charset val="204"/>
      </rPr>
      <t xml:space="preserve"> для радиофикации жилого дома/подключения аудиотрубки домофона от распределительной коробки; прокладка провода для систем телеметрии </t>
    </r>
    <r>
      <rPr>
        <sz val="10"/>
        <color rgb="FF0000FF"/>
        <rFont val="Consolas"/>
        <family val="3"/>
        <charset val="204"/>
      </rPr>
      <t>типа КПСВВнг(А)-LS (или аналог)</t>
    </r>
    <r>
      <rPr>
        <sz val="10"/>
        <color rgb="FF000000"/>
        <rFont val="Consolas"/>
        <family val="3"/>
        <charset val="204"/>
      </rPr>
      <t xml:space="preserve">; прокладка провода для реле УК-ВК </t>
    </r>
    <r>
      <rPr>
        <sz val="10"/>
        <color rgb="FF0000FF"/>
        <rFont val="Consolas"/>
        <family val="3"/>
        <charset val="204"/>
      </rPr>
      <t>типа КСРПнг(А)-FRHF(или аналог)</t>
    </r>
    <r>
      <rPr>
        <sz val="10"/>
        <color rgb="FF000000"/>
        <rFont val="Consolas"/>
        <family val="3"/>
        <charset val="204"/>
      </rPr>
      <t xml:space="preserve">, </t>
    </r>
    <r>
      <rPr>
        <sz val="10"/>
        <color rgb="FF0000FF"/>
        <rFont val="Consolas"/>
        <family val="3"/>
        <charset val="204"/>
      </rPr>
      <t>(скрытая проводка)</t>
    </r>
  </si>
  <si>
    <r>
      <t xml:space="preserve">ПИР, СМР: Позиция предусматривает: 
- установку и крепление оборудования; 
- прокладку и крепление проводов и кабелей, используемых при монтаже оборудования; 
- разделку и подключение проводов и кабелей к системе электропитания; 
- маркировку оборудования (согласно требованиям Заказчика); 
- включение электропитания и тестирование согласно требованиям производителя оборудования, указанным в инструкции по монтажу; 
-пуско-наладочные работы
Цена включает затраты на кабели питания, заземления, кабель UTP/FTP длинной </t>
    </r>
    <r>
      <rPr>
        <sz val="10"/>
        <color rgb="FF0000FF"/>
        <rFont val="Consolas"/>
        <family val="3"/>
        <charset val="204"/>
      </rPr>
      <t>до 100 метров</t>
    </r>
    <r>
      <rPr>
        <sz val="10"/>
        <rFont val="Consolas"/>
        <family val="3"/>
        <charset val="204"/>
      </rPr>
      <t>, гофру и металлорукав для защиты этого кабеля, расходные материалы и доставку.</t>
    </r>
  </si>
  <si>
    <r>
      <t xml:space="preserve">Монтаж рупорного громкоговорителя </t>
    </r>
    <r>
      <rPr>
        <sz val="10"/>
        <color rgb="FF0000FF"/>
        <rFont val="Consolas"/>
        <family val="3"/>
        <charset val="204"/>
      </rPr>
      <t>100 В</t>
    </r>
  </si>
  <si>
    <r>
      <t xml:space="preserve">Монтаж этажного оповещателя </t>
    </r>
    <r>
      <rPr>
        <sz val="10"/>
        <color rgb="FF0000FF"/>
        <rFont val="Consolas"/>
        <family val="3"/>
        <charset val="204"/>
      </rPr>
      <t>30 В</t>
    </r>
  </si>
  <si>
    <r>
      <t xml:space="preserve">СМР, ПИР, прочие затраты, не ограничиваясь перечисленным: Монтаж этажного оповещателя 30В, </t>
    </r>
    <r>
      <rPr>
        <sz val="10"/>
        <color rgb="FF0000FF"/>
        <rFont val="Consolas"/>
        <family val="3"/>
        <charset val="204"/>
      </rPr>
      <t>без стоимости оборудования</t>
    </r>
    <r>
      <rPr>
        <sz val="10"/>
        <rFont val="Consolas"/>
        <family val="3"/>
        <charset val="204"/>
      </rPr>
      <t>, с учетом материалов.</t>
    </r>
  </si>
  <si>
    <r>
      <t xml:space="preserve">СМР, ПИР, прочие затраты, не ограничиваясь перечисленным: Монтаж рупорного громкоговорителя 100В, </t>
    </r>
    <r>
      <rPr>
        <sz val="10"/>
        <color rgb="FF0000FF"/>
        <rFont val="Consolas"/>
        <family val="3"/>
        <charset val="204"/>
      </rPr>
      <t>без стоимости оборудования</t>
    </r>
    <r>
      <rPr>
        <sz val="10"/>
        <rFont val="Consolas"/>
        <family val="3"/>
        <charset val="204"/>
      </rPr>
      <t>, с учётом материалов.</t>
    </r>
  </si>
  <si>
    <r>
      <t xml:space="preserve">СМР: Комплекс работ.  Включено, не ограничиваясь перечисленным: устройство бетонного основания, монтаж тумбы шлагбаума/ </t>
    </r>
    <r>
      <rPr>
        <sz val="10"/>
        <color rgb="FF0000FF"/>
        <rFont val="Consolas"/>
        <family val="3"/>
        <charset val="204"/>
      </rPr>
      <t>установка узлов креплений на устроенном основании для откатных ворот/ устройство оснований для цепных барьеров</t>
    </r>
    <r>
      <rPr>
        <sz val="10"/>
        <color theme="1"/>
        <rFont val="Consolas"/>
        <family val="3"/>
        <charset val="204"/>
      </rPr>
      <t xml:space="preserve"> (включая Элементы механики), установка стрелы,  организация трасы электропитания до 20 м и расключение (включая стоимость материалов), восстановление покрытия проезжей части/тротуара/элементов благоустройства; монтаж 2-х столбиков и фотоэлементов безопасности, считывателя, кодовой панели (включая монтаж кронштейнов и стоек); монтаж сигнальной лампы, монтаж антенны радиоканала, опоры под стрелу, настройка, тестирование, стоимость расходных материалов.  
</t>
    </r>
    <r>
      <rPr>
        <sz val="10"/>
        <color rgb="FF0000FF"/>
        <rFont val="Consolas"/>
        <family val="3"/>
        <charset val="204"/>
      </rPr>
      <t>Не включает стоимость шлагбаума и абонентские комплекты.</t>
    </r>
  </si>
  <si>
    <r>
      <t xml:space="preserve">СМР, ПИР,  не ограничиваясь перечисленным;  установка и монтаж реле включая крепежные материалы и изделия). Оформление разрешительных документов, исполнительной документации. </t>
    </r>
    <r>
      <rPr>
        <sz val="10"/>
        <color rgb="FF0000FF"/>
        <rFont val="Consolas"/>
        <family val="3"/>
        <charset val="204"/>
      </rPr>
      <t xml:space="preserve">Без стоимости оборудования. </t>
    </r>
  </si>
  <si>
    <r>
      <t>ПИР,СМР: Комплекс работ.  Включено, не ограничиваясь перечисленным: (включая земляные работы при необходимости и подготовку основания (включая стоимость материалов), монтаж стойки светофора; монтаж светофора; организация трассы электропитания длиной до 5 м и расключение (включая стоимость материалов); подключение коммутационного устройства (реле), подключение к контроллеру/блоку управления шлагбаума; восстановление покрытия проезжей части/тротуара/элементов благоустройства; оформление разрешительных документов; подготовка и сдача исполнительной документации.</t>
    </r>
    <r>
      <rPr>
        <b/>
        <sz val="10"/>
        <color rgb="FFFF0000"/>
        <rFont val="Consolas"/>
        <family val="3"/>
        <charset val="204"/>
      </rPr>
      <t xml:space="preserve"> 
</t>
    </r>
    <r>
      <rPr>
        <b/>
        <sz val="10"/>
        <color rgb="FF0000FF"/>
        <rFont val="Consolas"/>
        <family val="3"/>
        <charset val="204"/>
      </rPr>
      <t xml:space="preserve">Не включает стоимость стойки, светофора, коммутационного устройства. </t>
    </r>
  </si>
  <si>
    <r>
      <t xml:space="preserve">ПИР,СМР: монтаж универсального обогревателя с термостатом для мотора-редуктора привода шлагбаума,  согласно рекомендациям производителя, подключение и тестирование.
</t>
    </r>
    <r>
      <rPr>
        <b/>
        <sz val="10"/>
        <color rgb="FF0000FF"/>
        <rFont val="Consolas"/>
        <family val="3"/>
        <charset val="204"/>
      </rPr>
      <t>Не включает стоимость обогревателя с термостатом.</t>
    </r>
  </si>
  <si>
    <r>
      <t xml:space="preserve">ПИР, СМР: Комплекс работ.  Включено, не ограничиваясь перечисленным: организация трассы сигнальных линий  длинной до 40 м. и расключение (включая стоимость материалов, в том числе кабеля), восстановление покрытия проезжей части/тротуара/элементов благоустройства. 
</t>
    </r>
    <r>
      <rPr>
        <b/>
        <sz val="10"/>
        <color rgb="FF0000FF"/>
        <rFont val="Consolas"/>
        <family val="3"/>
        <charset val="204"/>
      </rPr>
      <t>Не включает стоимость индукционной петли.</t>
    </r>
  </si>
  <si>
    <r>
      <t xml:space="preserve">СМР  столбика под фотоэлемент, монтаж и подключение проводного фотоэлемента , включая расходные материалы, восстановление покрытия проезжей части/тротуара/элементов благоустройства. 
</t>
    </r>
    <r>
      <rPr>
        <b/>
        <sz val="10"/>
        <color rgb="FF0000FF"/>
        <rFont val="Consolas"/>
        <family val="3"/>
        <charset val="204"/>
      </rPr>
      <t xml:space="preserve">Не включает стоимость столбика, фотоэлемента. </t>
    </r>
  </si>
  <si>
    <r>
      <t xml:space="preserve">ПИР, СМР: Комплекс работ. Включено, не ограничиваясь перечисленным: подготовка поверхности к монтажу, установка и монтаж  турникета вне зависимости от конструкции (полуростовый, трипод, роторный); монтаж дополнительных конструкций по ширине прохода: ограждение, калитка, прочие конструкции; монтаж блока питания, организация трассы электропитания длиной до 20 м и расключение (включая стоимость материалов);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</si>
  <si>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ПИР,СМР: Комплекс работ. Включено, не ограничиваясь перечисленным: подготовка поверхности к монтажу, установка и монтаж  полноростового турникета;  монтаж дополнительных конструкций ограждения по ширине прохода: ограждение, калитка, прочие конструкции; установка блока питания, организация трассы электропитания длиной до 20 м и расключение (включая стоимость материалов);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</si>
  <si>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ПИР,СМР: Комплекс работ. Включено, не ограничиваясь перечисленным: подготовка поверхности к монтажу (включая земляные работы с оформлением ордеров при необходимости и подготовку бетонного основания с учетом стоимости бетона), установка и монтаж  турникета вне зависимости от конструкции (полуростовый, трипод, роторный); монтаж дополнительных конструкций по ширине прохода: ограждение, калитка, прочие конструкции; установка блока питания; организация трассы электропитания длиной до 20 м и расключение (включая стоимость материалов); восстановление покрытий проезжей части/тротуаров/благоустройства;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оформление разрешительных документов;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</si>
  <si>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ПИР,СМР: Комплекс работ. Включено, не ограничиваясь перечисленным: подготовка поверхности к монтажу (включая земляные работы с оформлением ордеров при необходимости и подготовку бетонного основания с учетом стоимости бетона), установка и монтаж  полноростового турникета;  монтаж дополнительных конструкций ограждения по ширине прохода: ограждение, калитка, прочие конструкции; установка блока питания, организация трассы электропитания длиной до 20 м и расключение (включая стоимость материалов); восстановление  покрытий проезжей части/тротуаров, восстановление элементов благоустройства;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оформление разрешительных документов;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</si>
  <si>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ПИР, СМР: Коммутация сигнальных линий, программирование, настройка устройств/систем.
</t>
    </r>
    <r>
      <rPr>
        <b/>
        <sz val="10"/>
        <color rgb="FF0000FF"/>
        <rFont val="Consolas"/>
        <family val="3"/>
        <charset val="204"/>
      </rPr>
      <t>Не включает стоимость контроллера, монтаж, прокладку кабеля.</t>
    </r>
  </si>
  <si>
    <t xml:space="preserve">Разработка технического решения по организации системы АСКУЭ в МКД на основании исходных данных от Заказчика, без организации обследования объекта. Передача ТР в согласованном виде. 
В состав технического решения входит:
• Спецификация оборудования и материалов
• Структурная схема подключения приборов учета к оборудованию телеметрии
• Пояснительная записка, содержащая необходимую информацию о принципах построения системы, прокладки кабельных линий связи, местах установки оборудования.
</t>
  </si>
  <si>
    <t>Разработка технического решения по организации системы АСКУЭ в МКД на основании исходных данных от Заказчика , с организацией выезда для обследования объекта. Передача ТР в согласованном виде. 
В состав технического решения входит:
• Спецификация оборудования и материалов
•Подготовка эскиза проекта с указанием места расположение приборов учета в МКД, способа прокладки линий связи и их протяженности, места установки узлового оборудования (УД, ЩУР, БС)
• Пояснительная записка, содержащая всю необходимую информацию о принципах построения системы, прокладки кабельных линий связи, местах установки оборудования.</t>
  </si>
  <si>
    <r>
      <t xml:space="preserve">Разработка технического решения на адресе организации услуг АСКУЭ
</t>
    </r>
    <r>
      <rPr>
        <sz val="10"/>
        <color rgb="FF0000FF"/>
        <rFont val="Consolas"/>
        <family val="3"/>
        <charset val="204"/>
      </rPr>
      <t>(без организации обследования объекта)</t>
    </r>
  </si>
  <si>
    <r>
      <t xml:space="preserve">Разработка технического решения на адресе организации услуг АСКУЭ
</t>
    </r>
    <r>
      <rPr>
        <sz val="10"/>
        <color rgb="FF0000FF"/>
        <rFont val="Consolas"/>
        <family val="3"/>
        <charset val="204"/>
      </rPr>
      <t>(с организацией обследования объекта)</t>
    </r>
  </si>
  <si>
    <r>
      <t>ПИР, СМР: с учетом стоимости материалов.</t>
    </r>
    <r>
      <rPr>
        <b/>
        <sz val="10"/>
        <color rgb="FFFF0000"/>
        <rFont val="Consolas"/>
        <family val="3"/>
        <charset val="204"/>
      </rPr>
      <t xml:space="preserve"> </t>
    </r>
    <r>
      <rPr>
        <b/>
        <sz val="10"/>
        <color rgb="FF0000FF"/>
        <rFont val="Consolas"/>
        <family val="3"/>
        <charset val="204"/>
      </rPr>
      <t>Без учета стоимости счетчика.</t>
    </r>
  </si>
  <si>
    <r>
      <t>ПИР, СМР прочие затраты, не ограничиваясь перечисленным: монтаж блока коммутации/конвертера интерфейса до 8 портов включительно/концентратора интерфейса на стену/ в щит АСКУЭ, расшивка кабеля в блоке коммутации, тестирование производственного монтажа, с учетом стоимости материалов.</t>
    </r>
    <r>
      <rPr>
        <b/>
        <sz val="10"/>
        <color rgb="FFFF0000"/>
        <rFont val="Consolas"/>
        <family val="3"/>
        <charset val="204"/>
      </rPr>
      <t xml:space="preserve"> 
</t>
    </r>
    <r>
      <rPr>
        <b/>
        <sz val="10"/>
        <color rgb="FF0000FF"/>
        <rFont val="Consolas"/>
        <family val="3"/>
        <charset val="204"/>
      </rPr>
      <t>Без учета стоимости оборудования, организации линий электропитания и связи.</t>
    </r>
  </si>
  <si>
    <r>
      <t xml:space="preserve">Установка счетчика импульсов-регистратора </t>
    </r>
    <r>
      <rPr>
        <sz val="10"/>
        <color rgb="FF0000FF"/>
        <rFont val="Consolas"/>
        <family val="3"/>
        <charset val="204"/>
      </rPr>
      <t>до 10 каналов</t>
    </r>
    <r>
      <rPr>
        <sz val="10"/>
        <color rgb="FF000000"/>
        <rFont val="Consolas"/>
        <family val="3"/>
        <charset val="204"/>
      </rPr>
      <t xml:space="preserve"> включительно (ПУ телеметрия)</t>
    </r>
  </si>
  <si>
    <r>
      <t xml:space="preserve">Установка счетчика импульсов-регистратора </t>
    </r>
    <r>
      <rPr>
        <sz val="10"/>
        <color rgb="FF0000FF"/>
        <rFont val="Consolas"/>
        <family val="3"/>
        <charset val="204"/>
      </rPr>
      <t>свыше 10 каналов</t>
    </r>
    <r>
      <rPr>
        <sz val="10"/>
        <color rgb="FF000000"/>
        <rFont val="Consolas"/>
        <family val="3"/>
        <charset val="204"/>
      </rPr>
      <t xml:space="preserve">  (ПУ телеметрия)</t>
    </r>
  </si>
  <si>
    <r>
      <t xml:space="preserve">ПНР, не ограничиваясь перечисленным:
</t>
    </r>
    <r>
      <rPr>
        <sz val="10"/>
        <color rgb="FF0000FF"/>
        <rFont val="Consolas"/>
        <family val="3"/>
        <charset val="204"/>
      </rPr>
      <t>•</t>
    </r>
    <r>
      <rPr>
        <b/>
        <sz val="10"/>
        <color rgb="FF0000FF"/>
        <rFont val="Consolas"/>
        <family val="3"/>
        <charset val="204"/>
      </rPr>
      <t xml:space="preserve"> Формирование плана и оформление таблиц адресации счетчиков по квартирам, ВРУ, ГРЩ и т.д., передача данных для занесения НСИ в базу данных ИВК ВУ для автоматизированного сбора данных с компонентов системы учета</t>
    </r>
    <r>
      <rPr>
        <sz val="10"/>
        <color theme="1"/>
        <rFont val="Consolas"/>
        <family val="3"/>
        <charset val="204"/>
      </rPr>
      <t xml:space="preserve">
• Настройка конвертеров, преобразователей интерфейсов и M-BUS концентраторов
• Заведение на счетчики импульсов-регистраторы серийных номеров и начальных показаний импульсных счетчиков.
• Программирование счетчиков электроэнергии (присвоение сетевого адреса, синхронизация времени, загрузка тарифного расписания, корректировка индикации и т.д.)
• Проверка каналов связи для передачи данных
• Проведение комплексной наладки всех элементов системы, отладка их взаимодействия
•  Комплексная проверка работоспособности системы (поступление показаний).
• Оформление результатов испытаний
• Представление Заказчику приемосдаточной документации в соответствии с утвержденным перечнем документов, согласованным с Заказчиком</t>
    </r>
  </si>
  <si>
    <r>
      <t xml:space="preserve">СМР, ПИР, прочие, не ограничиваясь перечисленным  (крепежные материалы и изделия): Установка  Wi-Fi ТД, видеокамеры в кожух. Разметка и сверление отверстий. Установка/ замена кронштейна для монтажа, включая завинчивание винтов до проектного усилия. Крепление камеры видеонаблюдения к кронштейну, юстировка. Настройка оборудования. Подключение. Оформление разрешительных документов, исполнительной документации.
</t>
    </r>
    <r>
      <rPr>
        <b/>
        <sz val="10"/>
        <color rgb="FF0000FF"/>
        <rFont val="Consolas"/>
        <family val="3"/>
        <charset val="204"/>
      </rPr>
      <t xml:space="preserve">Без прокладки и стоимости кабеля. Без стоимости оборудования. </t>
    </r>
  </si>
  <si>
    <r>
      <t xml:space="preserve">Установка, настройка оборудования Wi-Fi, видеокамеры </t>
    </r>
    <r>
      <rPr>
        <sz val="10"/>
        <color rgb="FF0000FF"/>
        <rFont val="Consolas"/>
        <family val="3"/>
        <charset val="204"/>
      </rPr>
      <t>в помещении (в т.ч в ДХ)</t>
    </r>
  </si>
  <si>
    <r>
      <t xml:space="preserve">Установка, настройка  видеокамеры с кронштейном </t>
    </r>
    <r>
      <rPr>
        <sz val="10"/>
        <color rgb="FF0000FF"/>
        <rFont val="Consolas"/>
        <family val="3"/>
        <charset val="204"/>
      </rPr>
      <t xml:space="preserve">на фасаде здания </t>
    </r>
  </si>
  <si>
    <r>
      <t>СМР, ПИР, Прочие затраты, не ограничиваясь перечисленным  (крепежные материалы и изделия): Установка видеокамеры в кожух. Разметка и сверление отверстий. Установка кронштейна для монтажа камеры видеонаблюдения, включая завинчивание винтов до проектного усилия. Крепление камеры видеонаблюдения к кронштейну. Настройка изображения и фокуса. Подключение.</t>
    </r>
    <r>
      <rPr>
        <b/>
        <sz val="10"/>
        <color rgb="FFFF0000"/>
        <rFont val="Consolas"/>
        <family val="3"/>
        <charset val="204"/>
      </rPr>
      <t xml:space="preserve"> </t>
    </r>
    <r>
      <rPr>
        <sz val="10"/>
        <rFont val="Consolas"/>
        <family val="3"/>
        <charset val="204"/>
      </rPr>
      <t xml:space="preserve"> Оформление разрешительных документов, исполнительной документации.
</t>
    </r>
    <r>
      <rPr>
        <b/>
        <sz val="10"/>
        <color rgb="FF0000FF"/>
        <rFont val="Consolas"/>
        <family val="3"/>
        <charset val="204"/>
      </rPr>
      <t>Без прокладки и стоимости кабеля. Без стоимости оборудования.</t>
    </r>
  </si>
  <si>
    <r>
      <t xml:space="preserve">Установка камеры </t>
    </r>
    <r>
      <rPr>
        <sz val="10"/>
        <color rgb="FF0000FF"/>
        <rFont val="Consolas"/>
        <family val="3"/>
        <charset val="204"/>
      </rPr>
      <t>подъездного/внутриподъездного</t>
    </r>
    <r>
      <rPr>
        <sz val="10"/>
        <rFont val="Consolas"/>
        <family val="3"/>
        <charset val="204"/>
      </rPr>
      <t xml:space="preserve"> видеонаблюдения (ПВН)  (в т.ч системы городского видеонаблюдения)</t>
    </r>
  </si>
  <si>
    <r>
      <t>СМР, ПИР:  прочее не ограничиваясь перечисленным: установка камеры подъездного видеонаблюдения (уличное пространство перед подъездом)/внутриподъездного видеонаблюдения; подготовка поверхности в независимости от материала к монтажу камеры; подключение к комбайнеру; юстировка, при необходимости установка (замена) видеокодера ПВН, установка конвертера, ПНР. Включает стоимость крепежных материалов и изделий.</t>
    </r>
    <r>
      <rPr>
        <b/>
        <sz val="10"/>
        <color rgb="FFFF0000"/>
        <rFont val="Consolas"/>
        <family val="3"/>
        <charset val="204"/>
      </rPr>
      <t xml:space="preserve">  </t>
    </r>
    <r>
      <rPr>
        <sz val="10"/>
        <color theme="1"/>
        <rFont val="Consolas"/>
        <family val="3"/>
        <charset val="204"/>
      </rPr>
      <t xml:space="preserve">Оформление разрешительных документов, исполнительной документации.
</t>
    </r>
    <r>
      <rPr>
        <sz val="10"/>
        <color rgb="FF0000FF"/>
        <rFont val="Consolas"/>
        <family val="3"/>
        <charset val="204"/>
      </rPr>
      <t>Без прокладки и стоимости кабеля. Без стоимости оборудования.</t>
    </r>
  </si>
  <si>
    <r>
      <rPr>
        <sz val="10"/>
        <color rgb="FF0000FF"/>
        <rFont val="Consolas"/>
        <family val="3"/>
        <charset val="204"/>
      </rPr>
      <t xml:space="preserve">Уличная </t>
    </r>
    <r>
      <rPr>
        <sz val="10"/>
        <color theme="1"/>
        <rFont val="Consolas"/>
        <family val="3"/>
        <charset val="204"/>
      </rPr>
      <t xml:space="preserve">камера на </t>
    </r>
    <r>
      <rPr>
        <sz val="10"/>
        <color rgb="FF0000FF"/>
        <rFont val="Consolas"/>
        <family val="3"/>
        <charset val="204"/>
      </rPr>
      <t>столбовой опоре</t>
    </r>
  </si>
  <si>
    <r>
      <t>СМР, ПИР:  прочее не ограничиваясь перечисленным: установка крепежного кронштейна камеры на столбовой опоре,  установка, юстировка камеры,  заделка разъемов, подключение питания, ПНР (с учетом производства строительных и других работ вблизи объектов, находящихся под высоким напряжением, в том числе  в охранной зоне действующей воздушной линии электропередачи). Включает стоимость крепежных материалов и изделий.</t>
    </r>
    <r>
      <rPr>
        <b/>
        <sz val="10"/>
        <color rgb="FFFF0000"/>
        <rFont val="Consolas"/>
        <family val="3"/>
        <charset val="204"/>
      </rPr>
      <t xml:space="preserve"> </t>
    </r>
    <r>
      <rPr>
        <sz val="10"/>
        <color theme="1"/>
        <rFont val="Consolas"/>
        <family val="3"/>
        <charset val="204"/>
      </rPr>
      <t xml:space="preserve">Оформление разрешительных документов, исполнительной документации.
</t>
    </r>
    <r>
      <rPr>
        <sz val="10"/>
        <color rgb="FF0000FF"/>
        <rFont val="Consolas"/>
        <family val="3"/>
        <charset val="204"/>
      </rPr>
      <t xml:space="preserve">Без прокладки и стоимости кабеля. Без стоимости оборудования. </t>
    </r>
  </si>
  <si>
    <r>
      <t xml:space="preserve">Монтаж оборудования Wi-Fi </t>
    </r>
    <r>
      <rPr>
        <sz val="10"/>
        <color rgb="FF0000FF"/>
        <rFont val="Consolas"/>
        <family val="3"/>
        <charset val="204"/>
      </rPr>
      <t xml:space="preserve">внешнего размещения (Outdoor) 
</t>
    </r>
  </si>
  <si>
    <r>
      <t xml:space="preserve">СМР, ПИР:  прочее не ограничиваясь перечисленным:
- установку и крепление оборудования, включая установку блока питания/PoE адаптера ; 
- маркировку оборудования (согласно требованиям Заказчика); 
- юстировка направленной антенны; 
- включение тестирование согласно требованиям производителя оборудования, указанным в инструкции по монтажу; 
-пуско-наладочные работы, включая программирование точки;
Оформление разрешительных документов, исполнительной документации. 
</t>
    </r>
    <r>
      <rPr>
        <sz val="10"/>
        <color rgb="FF0000FF"/>
        <rFont val="Consolas"/>
        <family val="3"/>
        <charset val="204"/>
      </rPr>
      <t xml:space="preserve">Без прокладки и стоимости кабеля. Без стоимости оборудования. </t>
    </r>
  </si>
  <si>
    <r>
      <t xml:space="preserve">Монтаж оборудования Wi-Fi (точка доступа либо комплект направленных антенн) </t>
    </r>
    <r>
      <rPr>
        <sz val="10"/>
        <color rgb="FF0000FF"/>
        <rFont val="Consolas"/>
        <family val="3"/>
        <charset val="204"/>
      </rPr>
      <t>внутреннего размещения (Indoor)</t>
    </r>
    <r>
      <rPr>
        <sz val="10"/>
        <color rgb="FF000000"/>
        <rFont val="Consolas"/>
        <family val="3"/>
        <charset val="204"/>
      </rPr>
      <t xml:space="preserve"> (офисные помещения, места массового скопления, ТЦ/ТРЦ)</t>
    </r>
  </si>
  <si>
    <r>
      <t xml:space="preserve">Прокладка и монтаж оптоэлектрического комбинированного кабеля (типа СЛ-ОЭК/ОЭК-НУ/аналог)  </t>
    </r>
    <r>
      <rPr>
        <sz val="10"/>
        <color rgb="FF0000FF"/>
        <rFont val="Consolas"/>
        <family val="3"/>
        <charset val="204"/>
      </rPr>
      <t>по существующим опорам/конструкциям (трубостойкам, между зданиями),</t>
    </r>
    <r>
      <rPr>
        <sz val="10"/>
        <color theme="1"/>
        <rFont val="Consolas"/>
        <family val="3"/>
        <charset val="204"/>
      </rPr>
      <t xml:space="preserve"> включая внутриобъектовые работы</t>
    </r>
  </si>
  <si>
    <r>
      <t xml:space="preserve">Монтаж нетипового некомплектного кронштейна </t>
    </r>
    <r>
      <rPr>
        <sz val="10"/>
        <color rgb="FF0000FF"/>
        <rFont val="Consolas"/>
        <family val="3"/>
        <charset val="204"/>
      </rPr>
      <t>внутри помещения</t>
    </r>
    <r>
      <rPr>
        <sz val="10"/>
        <color rgb="FF000000"/>
        <rFont val="Consolas"/>
        <family val="3"/>
        <charset val="204"/>
      </rPr>
      <t xml:space="preserve"> (ТД Wi-Fi/камера видеонаблюдения)</t>
    </r>
  </si>
  <si>
    <r>
      <t xml:space="preserve">Монтаж нетипового некомплектного  кронштейна </t>
    </r>
    <r>
      <rPr>
        <sz val="10"/>
        <color rgb="FF0000FF"/>
        <rFont val="Consolas"/>
        <family val="3"/>
        <charset val="204"/>
      </rPr>
      <t>уличного фасад/опора/иной конструктив</t>
    </r>
    <r>
      <rPr>
        <sz val="10"/>
        <color rgb="FF000000"/>
        <rFont val="Consolas"/>
        <family val="3"/>
        <charset val="204"/>
      </rPr>
      <t xml:space="preserve"> места установки  (ТД Wi-Fi/камера видеонаблюдения)</t>
    </r>
  </si>
  <si>
    <r>
      <t xml:space="preserve">Расчет радиопокрытия либо разработка решений по оптимизации существующей сети Wi-Fi по одному адресу. Площадь (с зоной покрытия)  </t>
    </r>
    <r>
      <rPr>
        <b/>
        <sz val="10"/>
        <color rgb="FF0000FF"/>
        <rFont val="Consolas"/>
        <family val="3"/>
        <charset val="204"/>
      </rPr>
      <t>от 1000 кв.м. до 10000 кв.м.</t>
    </r>
  </si>
  <si>
    <r>
      <t>Расчет радиопокрытия либо разработка решений по оптимизации</t>
    </r>
    <r>
      <rPr>
        <sz val="10"/>
        <color theme="1" tint="0.14999847407452621"/>
        <rFont val="Consolas"/>
        <family val="3"/>
        <charset val="204"/>
      </rPr>
      <t xml:space="preserve"> существующей сети Wi-Fi</t>
    </r>
    <r>
      <rPr>
        <sz val="10"/>
        <color rgb="FF000000"/>
        <rFont val="Consolas"/>
        <family val="3"/>
        <charset val="204"/>
      </rPr>
      <t xml:space="preserve"> по одному адресу. Площадь (с зоной покрытия) </t>
    </r>
    <r>
      <rPr>
        <b/>
        <sz val="10"/>
        <color rgb="FF0000FF"/>
        <rFont val="Consolas"/>
        <family val="3"/>
        <charset val="204"/>
      </rPr>
      <t>от 50 кв.м.  до 1000 кв.м.</t>
    </r>
  </si>
  <si>
    <r>
      <t xml:space="preserve">Расчет радиопокрытия либо разработка решений по оптимизации существующей сети Wi-Fi по одному адресу. Площадь (с зоной покрытия)  </t>
    </r>
    <r>
      <rPr>
        <b/>
        <sz val="10"/>
        <color rgb="FF0000FF"/>
        <rFont val="Consolas"/>
        <family val="3"/>
        <charset val="204"/>
      </rPr>
      <t>от 10000 кв.м. до 50000 кв.м.</t>
    </r>
  </si>
  <si>
    <r>
      <t xml:space="preserve">Расчет радиопокрытия либо разработка решений по оптимизации существующей сети Wi-Fi по одному адресу. Площадь (с зоной покрытия) </t>
    </r>
    <r>
      <rPr>
        <b/>
        <sz val="10"/>
        <color rgb="FF0000FF"/>
        <rFont val="Consolas"/>
        <family val="3"/>
        <charset val="204"/>
      </rPr>
      <t>более 50000 кв.м.</t>
    </r>
  </si>
  <si>
    <r>
      <t xml:space="preserve">Прокладка ПНД трубы диаметром </t>
    </r>
    <r>
      <rPr>
        <sz val="10"/>
        <color rgb="FF0000FF"/>
        <rFont val="Consolas"/>
        <family val="3"/>
        <charset val="204"/>
      </rPr>
      <t>до 32 мм</t>
    </r>
    <r>
      <rPr>
        <sz val="10"/>
        <color rgb="FF000000"/>
        <rFont val="Consolas"/>
        <family val="3"/>
        <charset val="204"/>
      </rPr>
      <t xml:space="preserve"> включительно, </t>
    </r>
    <r>
      <rPr>
        <sz val="10"/>
        <color rgb="FF0000FF"/>
        <rFont val="Consolas"/>
        <family val="3"/>
        <charset val="204"/>
      </rPr>
      <t xml:space="preserve">в грунте </t>
    </r>
  </si>
  <si>
    <t>ПНР: Включая весь перечень работ по настройке оборудования.</t>
  </si>
  <si>
    <r>
      <t>ПИР,СМР: Монтаж АРМ  в составе, не ограничиваясь перечисленным: видеорегистратор, монитор/мониторы, блок бесперебойного питания, клавиатура и/или мышь, включая их установку, подключение, настройку, тестирование; установку дополнительных жестких дисков в видеорегистратор; установку видеоразветвителей, видеоусилителей, квадраторов, подключение электропитания оборудования.</t>
    </r>
    <r>
      <rPr>
        <sz val="10"/>
        <color rgb="FF0000FF"/>
        <rFont val="Consolas"/>
        <family val="3"/>
        <charset val="204"/>
      </rPr>
      <t xml:space="preserve"> 
Без учета стоимости основных материалов.</t>
    </r>
  </si>
  <si>
    <r>
      <t xml:space="preserve">ПИР, СМР: Монтаж на существующих конструкциях, включая затраты на доставку и все необходимые материалы (кабели питания, заземления, патч-корды, гофра и другие расходные материалы), установка и настройка многодиапазонного усилителя антенны.
</t>
    </r>
    <r>
      <rPr>
        <sz val="10"/>
        <color rgb="FF0000FF"/>
        <rFont val="Consolas"/>
        <family val="3"/>
        <charset val="204"/>
      </rPr>
      <t>Стоимость оборудования (антенны, усилителя) не входит в данную расценку.</t>
    </r>
  </si>
  <si>
    <r>
      <t xml:space="preserve">Установка автоматического выключателя (220В,50Гц), с номинальным током </t>
    </r>
    <r>
      <rPr>
        <sz val="10"/>
        <color rgb="FF0000FF"/>
        <rFont val="Consolas"/>
        <family val="3"/>
        <charset val="204"/>
      </rPr>
      <t>до 32 А</t>
    </r>
    <r>
      <rPr>
        <sz val="10"/>
        <color theme="1"/>
        <rFont val="Consolas"/>
        <family val="3"/>
        <charset val="204"/>
      </rPr>
      <t xml:space="preserve"> во вводно-распределительном устройстве здания с подключением до счетчика общедомового учёта (с учётом стоимости автоматического выключателя).</t>
    </r>
  </si>
  <si>
    <r>
      <t xml:space="preserve">Установка розетки (220В) </t>
    </r>
    <r>
      <rPr>
        <sz val="10"/>
        <color rgb="FF0000FF"/>
        <rFont val="Consolas"/>
        <family val="3"/>
        <charset val="204"/>
      </rPr>
      <t xml:space="preserve">на DIN-рейку </t>
    </r>
    <r>
      <rPr>
        <sz val="10"/>
        <color theme="1"/>
        <rFont val="Consolas"/>
        <family val="3"/>
        <charset val="204"/>
      </rPr>
      <t>с заземлением контактов</t>
    </r>
  </si>
  <si>
    <r>
      <t xml:space="preserve">Прокладка и монтаж силового кабеля ёмкостью </t>
    </r>
    <r>
      <rPr>
        <sz val="10"/>
        <color rgb="FF0000FF"/>
        <rFont val="Consolas"/>
        <family val="3"/>
        <charset val="204"/>
      </rPr>
      <t>до 5х16 мм²</t>
    </r>
    <r>
      <rPr>
        <sz val="10"/>
        <rFont val="Consolas"/>
        <family val="3"/>
        <charset val="204"/>
      </rPr>
      <t xml:space="preserve"> </t>
    </r>
    <r>
      <rPr>
        <sz val="10"/>
        <color rgb="FF0000FF"/>
        <rFont val="Consolas"/>
        <family val="3"/>
        <charset val="204"/>
      </rPr>
      <t>по опорам/конструкциям/стенам</t>
    </r>
    <r>
      <rPr>
        <sz val="10"/>
        <rFont val="Consolas"/>
        <family val="3"/>
        <charset val="204"/>
      </rPr>
      <t>, включая внутриобъектовую прокладку для различных подключений</t>
    </r>
  </si>
  <si>
    <r>
      <t xml:space="preserve">Прокладка и монтаж силового кабеля ёмкостью </t>
    </r>
    <r>
      <rPr>
        <sz val="10"/>
        <color rgb="FF0000FF"/>
        <rFont val="Consolas"/>
        <family val="3"/>
        <charset val="204"/>
      </rPr>
      <t>до 4х6 мм²</t>
    </r>
    <r>
      <rPr>
        <sz val="10"/>
        <rFont val="Consolas"/>
        <family val="3"/>
        <charset val="204"/>
      </rPr>
      <t xml:space="preserve"> </t>
    </r>
    <r>
      <rPr>
        <sz val="10"/>
        <color rgb="FF0000FF"/>
        <rFont val="Consolas"/>
        <family val="3"/>
        <charset val="204"/>
      </rPr>
      <t>по опорам/конструкциям/стенам</t>
    </r>
    <r>
      <rPr>
        <sz val="10"/>
        <rFont val="Consolas"/>
        <family val="3"/>
        <charset val="204"/>
      </rPr>
      <t>, включая внутриобъектовую прокладку для различных подключений</t>
    </r>
  </si>
  <si>
    <r>
      <t xml:space="preserve">Прокладка и монтаж силового кабеля типа ВВГнг/ВВГнг-LS/КГВВнг(А)-LS/ПВС (аналог) емкостью </t>
    </r>
    <r>
      <rPr>
        <sz val="10"/>
        <color rgb="FF0000FF"/>
        <rFont val="Consolas"/>
        <family val="3"/>
        <charset val="204"/>
      </rPr>
      <t>до 3х2,5  мм² по установленным конструкциям (труба/ короб/ гофра/ металлорукав)</t>
    </r>
    <r>
      <rPr>
        <sz val="10"/>
        <color theme="1"/>
        <rFont val="Consolas"/>
        <family val="3"/>
        <charset val="204"/>
      </rPr>
      <t xml:space="preserve"> с разводкой жил по приборам </t>
    </r>
  </si>
  <si>
    <r>
      <t xml:space="preserve">Прокладка и монтаж силового кабеля типаВВГнг/ВВГнг-LS/КГВВнг(А)-LS/ПВС (аналог) емкостью </t>
    </r>
    <r>
      <rPr>
        <sz val="10"/>
        <color rgb="FF0000FF"/>
        <rFont val="Consolas"/>
        <family val="3"/>
        <charset val="204"/>
      </rPr>
      <t xml:space="preserve">до 3х2,5  мм² по проектируемым конструкциям: трубе/коробу/гофре с их установкой </t>
    </r>
  </si>
  <si>
    <r>
      <t xml:space="preserve">Прокладка и монтаж силового кабеля типа ВВГнг/ВВГнг-LS/КГВВнг(А)-LS/ПВС (аналог) емкостью </t>
    </r>
    <r>
      <rPr>
        <sz val="10"/>
        <color rgb="FF0000FF"/>
        <rFont val="Consolas"/>
        <family val="3"/>
        <charset val="204"/>
      </rPr>
      <t xml:space="preserve">до 3х2,5  мм² по проектируемому металлорукаву с его установкой </t>
    </r>
  </si>
  <si>
    <r>
      <t xml:space="preserve">Прокладка и монтаж силового кабеля типа ВВГнг/ВВГнг-LS/КГВВнг(А)-LS/ПВС (аналог) емкостью </t>
    </r>
    <r>
      <rPr>
        <sz val="10"/>
        <color rgb="FF0000FF"/>
        <rFont val="Consolas"/>
        <family val="3"/>
        <charset val="204"/>
      </rPr>
      <t>до 3х2,5  мм² по стене с креплением  скобами (открытая проводка)</t>
    </r>
    <r>
      <rPr>
        <sz val="10"/>
        <color theme="1"/>
        <rFont val="Consolas"/>
        <family val="3"/>
        <charset val="204"/>
      </rPr>
      <t xml:space="preserve">  </t>
    </r>
  </si>
  <si>
    <r>
      <t xml:space="preserve">Прокладка и монтаж силового кабеля типа ВВГнг/ВВГнг-LS/КГВВнг(А)-LS/ПВС (аналог) емкостью </t>
    </r>
    <r>
      <rPr>
        <sz val="10"/>
        <color rgb="FF0000FF"/>
        <rFont val="Consolas"/>
        <family val="3"/>
        <charset val="204"/>
      </rPr>
      <t xml:space="preserve">до 3х2,5  мм²  по стене с устройством и заделкой борозды  (скрытая проводка) </t>
    </r>
    <r>
      <rPr>
        <sz val="10"/>
        <color theme="1"/>
        <rFont val="Consolas"/>
        <family val="3"/>
        <charset val="204"/>
      </rPr>
      <t xml:space="preserve"> </t>
    </r>
  </si>
  <si>
    <r>
      <t xml:space="preserve">Прокладка и монтаж силового кабеля ёмкостью </t>
    </r>
    <r>
      <rPr>
        <sz val="10"/>
        <color rgb="FF0000FF"/>
        <rFont val="Consolas"/>
        <family val="3"/>
        <charset val="204"/>
      </rPr>
      <t>до 5х16мм2 по опорам/конструкциям/стенам</t>
    </r>
    <r>
      <rPr>
        <sz val="10"/>
        <color theme="1"/>
        <rFont val="Consolas"/>
        <family val="3"/>
        <charset val="204"/>
      </rPr>
      <t xml:space="preserve">, включая внутриобъектовую прокладку для различных подключений </t>
    </r>
    <r>
      <rPr>
        <sz val="10"/>
        <color rgb="FF0000FF"/>
        <rFont val="Consolas"/>
        <family val="3"/>
        <charset val="204"/>
      </rPr>
      <t>сверх 20/50 м</t>
    </r>
  </si>
  <si>
    <t>Применяется дополнительно к расценкам 5.29-5.33; 6.25-6.26; 6.77.1-6.77.3; 6.78-6.81; 6.104 и только в случае прокладки силового кабеля более 20/50 м</t>
  </si>
  <si>
    <r>
      <t xml:space="preserve">Прокладка и монтаж кабеля силового ВБбШв (или аналог)  емкостью </t>
    </r>
    <r>
      <rPr>
        <sz val="10"/>
        <color rgb="FF0000FF"/>
        <rFont val="Consolas"/>
        <family val="3"/>
        <charset val="204"/>
      </rPr>
      <t xml:space="preserve">от 2х16 до 5х16 мм2 в грунте </t>
    </r>
  </si>
  <si>
    <t>Применяется дополнительно к расценкам 5.30-5.33; 6.25-6.26; 6.77.1-6.77.3; 6.78-6.81; 6.104 и только в случае прокладки силового кабеля более 20/50 м</t>
  </si>
  <si>
    <t xml:space="preserve">ПИР, СМР: разработка грунта в траншее, отвозка лишнего грунта, доставка песка, устройство постели из песка, прокладка и монтаж кабеля (включая вывод кабеля на стену/опору, ввод кабеля в здание по существующему каналу с пробивкой и заделкой герметизации, внутриобъектовые работы), покрытие кабеля кирпичом/плитами, засыпка траншеи песком,  стоимость кабеля, прокладка и стоимость опознавательной ленты, оплата подключений к существующим сетям, согласования, оформление договоров аренды на период строительства, рекультивация земель. Проведение всех измерений, оформление исполнительной документации.
</t>
  </si>
  <si>
    <r>
      <t xml:space="preserve">Прокладка и монтаж силового кабеля ёмкостью </t>
    </r>
    <r>
      <rPr>
        <sz val="10"/>
        <color rgb="FF0000FF"/>
        <rFont val="Consolas"/>
        <family val="3"/>
        <charset val="204"/>
      </rPr>
      <t>до 4х2,5 мм2 по опорам/ конструкциям/ стенам</t>
    </r>
    <r>
      <rPr>
        <sz val="10"/>
        <color theme="1"/>
        <rFont val="Consolas"/>
        <family val="3"/>
        <charset val="204"/>
      </rPr>
      <t xml:space="preserve">, включая внутриобъектовую прокладку для различных подключений </t>
    </r>
    <r>
      <rPr>
        <sz val="10"/>
        <color rgb="FF0000FF"/>
        <rFont val="Consolas"/>
        <family val="3"/>
        <charset val="204"/>
      </rPr>
      <t>сверх 20/50 м</t>
    </r>
  </si>
  <si>
    <r>
      <t xml:space="preserve">Прокладка и монтаж силового кабеля ВВГнг/ВВГнг-LS/КГВВнг(А)-LS/ПВС (аналог) ёмкостью </t>
    </r>
    <r>
      <rPr>
        <sz val="10"/>
        <color rgb="FF0000FF"/>
        <rFont val="Consolas"/>
        <family val="3"/>
        <charset val="204"/>
      </rPr>
      <t>до 3х2,5мм2 для различных подключений сверх 20/50 м</t>
    </r>
  </si>
  <si>
    <t>Раздел 7. Беспроводной доступ</t>
  </si>
  <si>
    <r>
      <t xml:space="preserve"> -Поиск площадки-кандидата в соответствии с требованиями Заказчика, обследование на предмет наличия прямой видимости (без переприема) и (или) возможности организации транспортной сети (ВОЛС, аренда)
- Подготовка, по результатам поиска, и передача Заказчику отчетов (по установленной Заказчиком форме) для выбора и утверждения площадки размещения.
 -Проведение предварительных переговоров с собственником (Арендодателем) и представителями третьей стороны. 
 -Представление правоустанавливающих документов (свидетельство о праве собственности, технический паспорт сооружения, изготовленный учреждением технической инвентаризации) на здание (сооружение). После согласования отчета, предоставить подписанный вариант Заказчику. Получение письменного согласия Арендодателя на размещение объекта и оформление договорных отношений.
- Разработка планов размещения антенн и оборудования, трасс прокладки кабелей, схем электроснабжения  оборудования
-Определение условий подключения к сети электропитания и категории надежности электроснабжения 
-Определение расстояния от площадки до других сооружений (БС), точек присутствия (ТП) с наличием активного оборудования РТК (оптическая позиция), подземных и наземных коммуникаций и др. для организации транспортной сети
В стоимость работ входят услуги по поиску площадки и сведения по потенциальным площадкам, отраженные в отчете. Составление плана размещения оборудования Заказчика на выбранном объекте. 
</t>
    </r>
    <r>
      <rPr>
        <sz val="10"/>
        <color rgb="FF0000FF"/>
        <rFont val="Consolas"/>
        <family val="3"/>
        <charset val="204"/>
      </rPr>
      <t>Разработка рабочего проекта на строительство объекта связи - не предусмотрена.</t>
    </r>
  </si>
  <si>
    <r>
      <t xml:space="preserve">Проведение инструментального контроля уровня электромагнитного поля радиочастотных излучений и Разработка приложения к санитарно-эпидемиологическому заключению ( </t>
    </r>
    <r>
      <rPr>
        <sz val="10"/>
        <color rgb="FF0000FF"/>
        <rFont val="Consolas"/>
        <family val="3"/>
        <charset val="204"/>
      </rPr>
      <t>форма Р1</t>
    </r>
    <r>
      <rPr>
        <sz val="10"/>
        <rFont val="Consolas"/>
        <family val="3"/>
        <charset val="204"/>
      </rPr>
      <t>)</t>
    </r>
  </si>
  <si>
    <r>
      <t xml:space="preserve">Получение заключения промбезопастности </t>
    </r>
    <r>
      <rPr>
        <sz val="10"/>
        <color rgb="FF0000FF"/>
        <rFont val="Consolas"/>
        <family val="3"/>
        <charset val="204"/>
      </rPr>
      <t>(ЭПБ)</t>
    </r>
    <r>
      <rPr>
        <sz val="10"/>
        <rFont val="Consolas"/>
        <family val="3"/>
        <charset val="204"/>
      </rPr>
      <t xml:space="preserve"> для вновь устанавливаемого оборудования, включая необходимые согласования, в том числе и в Ростехнадзоре, а так же заключение о несущей способности для труб и других промышленно-опасных объектов</t>
    </r>
  </si>
  <si>
    <r>
      <t xml:space="preserve">Сборка и монтаж узла РРС на объекте с  антенной  </t>
    </r>
    <r>
      <rPr>
        <sz val="10"/>
        <color rgb="FF0000FF"/>
        <rFont val="Consolas"/>
        <family val="3"/>
        <charset val="204"/>
      </rPr>
      <t xml:space="preserve">Ø 0,3-0,6 м </t>
    </r>
  </si>
  <si>
    <r>
      <t xml:space="preserve">Сборка и монтаж узла РРС на объекты с  антенной </t>
    </r>
    <r>
      <rPr>
        <sz val="10"/>
        <color rgb="FF0000FF"/>
        <rFont val="Consolas"/>
        <family val="3"/>
        <charset val="204"/>
      </rPr>
      <t xml:space="preserve">Ø 0,3-0,6 м </t>
    </r>
  </si>
  <si>
    <r>
      <t xml:space="preserve">Монтаж на </t>
    </r>
    <r>
      <rPr>
        <sz val="10"/>
        <color rgb="FF0000FF"/>
        <rFont val="Consolas"/>
        <family val="3"/>
        <charset val="204"/>
      </rPr>
      <t>существующих</t>
    </r>
    <r>
      <rPr>
        <sz val="10"/>
        <color theme="1"/>
        <rFont val="Consolas"/>
        <family val="3"/>
        <charset val="204"/>
      </rPr>
      <t xml:space="preserve"> конструкциях, включая затраты на доставку и все необходимые материалы (кабели питания, заземления, патч-корды, гофра и другие расходные материалы).
Монтаж  и ПНР  ODU, IDU, прокладка АФУ, кабелей питания, заземления, кроссировочных и коммутационных работ
</t>
    </r>
    <r>
      <rPr>
        <sz val="10"/>
        <color rgb="FF0000FF"/>
        <rFont val="Consolas"/>
        <family val="3"/>
        <charset val="204"/>
      </rPr>
      <t>Стоимость оборудования РРС не входит в данную расценку.</t>
    </r>
  </si>
  <si>
    <r>
      <t xml:space="preserve">Монтаж на </t>
    </r>
    <r>
      <rPr>
        <sz val="10"/>
        <color rgb="FF0000FF"/>
        <rFont val="Consolas"/>
        <family val="3"/>
        <charset val="204"/>
      </rPr>
      <t>проектируемых</t>
    </r>
    <r>
      <rPr>
        <sz val="10"/>
        <color theme="1"/>
        <rFont val="Consolas"/>
        <family val="3"/>
        <charset val="204"/>
      </rPr>
      <t xml:space="preserve"> конструкциях включая (Цена включает затраты на монтажные материалы и доставку):
- Создание места для размещения антенны Радиорелейной станции на крыше, стене или парапете  стандартным креплением (включая доставку и монтаж,  стоимость трубостойки и всех сопутствующих материалов).
- Монтаж провода заземления либо заземление на существующий контур молниезащиты
Монтаж  и ПНР  ODU, IDU, прокладка АФУ, кабелей питания, заземления, кроссировочных и коммутационных работ
</t>
    </r>
    <r>
      <rPr>
        <sz val="10"/>
        <color rgb="FF0000FF"/>
        <rFont val="Consolas"/>
        <family val="3"/>
        <charset val="204"/>
      </rPr>
      <t>Стоимость оборудования РРС не входит в данную расценку.</t>
    </r>
  </si>
  <si>
    <r>
      <t xml:space="preserve">Сборка и монтаж узла РРС на объекте с  антенной  </t>
    </r>
    <r>
      <rPr>
        <sz val="10"/>
        <color rgb="FF0000FF"/>
        <rFont val="Consolas"/>
        <family val="3"/>
        <charset val="204"/>
      </rPr>
      <t xml:space="preserve">Ø 0,9-1,2 м </t>
    </r>
  </si>
  <si>
    <r>
      <t xml:space="preserve">Сборка и монтаж узла РРС на объекте с  антенной </t>
    </r>
    <r>
      <rPr>
        <sz val="10"/>
        <color rgb="FF0000FF"/>
        <rFont val="Consolas"/>
        <family val="3"/>
        <charset val="204"/>
      </rPr>
      <t xml:space="preserve">Ø 0,9-1,2 м </t>
    </r>
  </si>
  <si>
    <r>
      <t>Монтаж на</t>
    </r>
    <r>
      <rPr>
        <sz val="10"/>
        <color rgb="FF0000FF"/>
        <rFont val="Consolas"/>
        <family val="3"/>
        <charset val="204"/>
      </rPr>
      <t xml:space="preserve"> существующих</t>
    </r>
    <r>
      <rPr>
        <sz val="10"/>
        <color theme="1"/>
        <rFont val="Consolas"/>
        <family val="3"/>
        <charset val="204"/>
      </rPr>
      <t xml:space="preserve"> конструкциях, включая затраты на доставку и все необходимые материалы (кабели питания, заземления, патч-корды, гофра и другие расходные материалы).
Монтаж  и ПНР  ODU, IDU, прокладка АФУ, кабелей питания, заземления, кроссировочных и коммутационных работ
</t>
    </r>
    <r>
      <rPr>
        <sz val="10"/>
        <color rgb="FF0000FF"/>
        <rFont val="Consolas"/>
        <family val="3"/>
        <charset val="204"/>
      </rPr>
      <t>Стоимость оборудования РРС не входит в данную расценку.</t>
    </r>
  </si>
  <si>
    <r>
      <t xml:space="preserve">Монтаж на </t>
    </r>
    <r>
      <rPr>
        <sz val="10"/>
        <color rgb="FF0000FF"/>
        <rFont val="Consolas"/>
        <family val="3"/>
        <charset val="204"/>
      </rPr>
      <t xml:space="preserve">проектируемых </t>
    </r>
    <r>
      <rPr>
        <sz val="10"/>
        <color theme="1"/>
        <rFont val="Consolas"/>
        <family val="3"/>
        <charset val="204"/>
      </rPr>
      <t xml:space="preserve">конструкциях включая (Цена включает затраты на монтажные материалы и доставку):
- Создание места для размещения антенны Радиорелейной станции на крыше, стене или парапете  стандартным креплением (включая доставку и монтаж,  стоимость трубостойки и всех сопутствующих материалов).
- Монтаж провода заземления либо заземление на существующий контур молниезащиты
Монтаж  и ПНР  ODU, IDU, прокладка АФУ, кабелей питания, заземления, кроссировочных и коммутационных работ
</t>
    </r>
    <r>
      <rPr>
        <sz val="10"/>
        <color rgb="FF0000FF"/>
        <rFont val="Consolas"/>
        <family val="3"/>
        <charset val="204"/>
      </rPr>
      <t>Стоимость оборудования РРС не входит в данную расценку.</t>
    </r>
  </si>
  <si>
    <r>
      <t xml:space="preserve">Применяется в случае заказа комплекса работ на станционной стороне.
 Состав работ в соответствии с рабочей документацией. 
Позиция предусматривает: 
- установку и крепление оборудования БС; 
- заземление оборудования БС (включая, при необходимости, изготовление кабелей); 
- разделку и подключение (при необходимости изготовление) проводов и кабелей к оборудованию БС; 
- прокладку и крепление проводов и кабелей, используемых при монтаже оборудования БС; 
- разделку и подключение проводов и кабелей к системе электропитания; 
- разделку и подключение проводов и кабелей на кроссе (включая монтаж плинтов); 
- маркировку оборудования БС (согласно требованиям Заказчика); 
- маркировку автоматов защиты оборудования БС (согласно требованиям Заказчика); 
- маркировку проводов и кабелей (согласно требованиям Заказчика); 
- маркировку кроссового оборудования (согласно требованиям Заказчика); 
- включение электропитания и тестирование согласно требованиям производителя оборудования, указанным в инструкции по монтажу; 
- загрузку конфигурационных файлов на сетевой элемент; 
 -подготовку исполнительной документации; 
- тестирование и сдача-приемка сетевого элемента по утверждённой Заказчиком процедуре Сдачи-Приёмки; Результат работы: 
- новый сетевой элемент полностью подготовлен к интеграции в сетевое окружение и сдан Заказчику по утвержденной процедуре. 
Цена включает затраты на кабели питания, заземления, кабель UTP/FTP длинной </t>
    </r>
    <r>
      <rPr>
        <sz val="10"/>
        <color rgb="FF0000FF"/>
        <rFont val="Consolas"/>
        <family val="3"/>
        <charset val="204"/>
      </rPr>
      <t>до 100 метров</t>
    </r>
    <r>
      <rPr>
        <sz val="10"/>
        <color theme="1"/>
        <rFont val="Consolas"/>
        <family val="3"/>
        <charset val="204"/>
      </rPr>
      <t>, гофру и металлорукав для защиты этого кабеля, расходные материалы и доставку.</t>
    </r>
  </si>
  <si>
    <r>
      <t xml:space="preserve">Монтаж и ПНР абонентского блока оборудования БШПД,  абонентского блока 3G/4G </t>
    </r>
    <r>
      <rPr>
        <sz val="10"/>
        <color rgb="FF0000FF"/>
        <rFont val="Consolas"/>
        <family val="3"/>
        <charset val="204"/>
      </rPr>
      <t>(outdoor)</t>
    </r>
    <r>
      <rPr>
        <sz val="10"/>
        <color theme="1"/>
        <rFont val="Consolas"/>
        <family val="3"/>
        <charset val="204"/>
      </rPr>
      <t xml:space="preserve">
</t>
    </r>
  </si>
  <si>
    <r>
      <t xml:space="preserve">Позиция предусматривает: 
- установку и крепление оборудования; 
- прокладку и крепление проводов и кабелей, используемых при монтаже оборудования БС; 
- разделку и подключение проводов и кабелей к системе электропитания; 
- маркировку оборудования (согласно требованиям Заказчика); 
- юстировка абонентского блока; 
- включение электропитания и тестирование согласно требованиям производителя оборудования, указанным в инструкции по монтажу,
 -подготовку исполнительной документации.
Цена включает затраты на кабели питания, заземления, кабель UTP/FTP длинной </t>
    </r>
    <r>
      <rPr>
        <sz val="10"/>
        <color rgb="FF0000FF"/>
        <rFont val="Consolas"/>
        <family val="3"/>
        <charset val="204"/>
      </rPr>
      <t>до 100 метров</t>
    </r>
    <r>
      <rPr>
        <sz val="10"/>
        <color theme="1"/>
        <rFont val="Consolas"/>
        <family val="3"/>
        <charset val="204"/>
      </rPr>
      <t>, гофру и металлорукав для защиты этого кабеля, расходные материалы и доставку.</t>
    </r>
  </si>
  <si>
    <r>
      <t xml:space="preserve">ПИР, ПНР, СМР включая устройство фундамента, установку металлоконструкций, VSAT,  монтаж систем электропитания, заземления,  и включение в транспортную сеть с учетом стоимости материалов </t>
    </r>
    <r>
      <rPr>
        <sz val="10"/>
        <color rgb="FF0000FF"/>
        <rFont val="Consolas"/>
        <family val="3"/>
        <charset val="204"/>
      </rPr>
      <t>(без учета стоимости оборудования)</t>
    </r>
    <r>
      <rPr>
        <sz val="10"/>
        <rFont val="Consolas"/>
        <family val="3"/>
        <charset val="204"/>
      </rPr>
      <t>. Оформление разрешительных документов с собственником здания на размещение оборудования.</t>
    </r>
  </si>
  <si>
    <r>
      <t xml:space="preserve">Антенна </t>
    </r>
    <r>
      <rPr>
        <sz val="10"/>
        <color rgb="FF0000FF"/>
        <rFont val="Consolas"/>
        <family val="3"/>
        <charset val="204"/>
      </rPr>
      <t>d - 1,2 м и менее</t>
    </r>
  </si>
  <si>
    <r>
      <t xml:space="preserve">Антенна </t>
    </r>
    <r>
      <rPr>
        <sz val="10"/>
        <color rgb="FF0000FF"/>
        <rFont val="Consolas"/>
        <family val="3"/>
        <charset val="204"/>
      </rPr>
      <t>от d - 1,2 м до d- 1,8 м</t>
    </r>
  </si>
  <si>
    <r>
      <t xml:space="preserve"> высотой </t>
    </r>
    <r>
      <rPr>
        <sz val="10"/>
        <color rgb="FF0000FF"/>
        <rFont val="Consolas"/>
        <family val="3"/>
        <charset val="204"/>
      </rPr>
      <t>11-21 м</t>
    </r>
  </si>
  <si>
    <r>
      <t xml:space="preserve"> высотой </t>
    </r>
    <r>
      <rPr>
        <sz val="10"/>
        <color rgb="FF0000FF"/>
        <rFont val="Consolas"/>
        <family val="3"/>
        <charset val="204"/>
      </rPr>
      <t>22-26 м</t>
    </r>
  </si>
  <si>
    <r>
      <t xml:space="preserve">высотой </t>
    </r>
    <r>
      <rPr>
        <sz val="10"/>
        <color rgb="FF0000FF"/>
        <rFont val="Consolas"/>
        <family val="3"/>
        <charset val="204"/>
      </rPr>
      <t>27-30 м</t>
    </r>
  </si>
  <si>
    <r>
      <t xml:space="preserve">высотой </t>
    </r>
    <r>
      <rPr>
        <sz val="10"/>
        <color rgb="FF0000FF"/>
        <rFont val="Consolas"/>
        <family val="3"/>
        <charset val="204"/>
      </rPr>
      <t>31-40 м</t>
    </r>
  </si>
  <si>
    <r>
      <t xml:space="preserve"> для АМС высотой </t>
    </r>
    <r>
      <rPr>
        <sz val="10"/>
        <color rgb="FF0000FF"/>
        <rFont val="Consolas"/>
        <family val="3"/>
        <charset val="204"/>
      </rPr>
      <t>до 30 м</t>
    </r>
  </si>
  <si>
    <r>
      <t xml:space="preserve"> для АМС высотой  </t>
    </r>
    <r>
      <rPr>
        <sz val="10"/>
        <color rgb="FF0000FF"/>
        <rFont val="Consolas"/>
        <family val="3"/>
        <charset val="204"/>
      </rPr>
      <t>от 30 до 40 м</t>
    </r>
  </si>
  <si>
    <r>
      <t xml:space="preserve"> для АМС высотой </t>
    </r>
    <r>
      <rPr>
        <sz val="10"/>
        <color rgb="FF0000FF"/>
        <rFont val="Consolas"/>
        <family val="3"/>
        <charset val="204"/>
      </rPr>
      <t>более 40 м</t>
    </r>
  </si>
  <si>
    <r>
      <t xml:space="preserve">Прокладка и монтаж кабель каналов, коробов ПВХ по конструкциям размером  </t>
    </r>
    <r>
      <rPr>
        <sz val="10"/>
        <color rgb="FF0000FF"/>
        <rFont val="Consolas"/>
        <family val="3"/>
        <charset val="204"/>
      </rPr>
      <t>80х60 мм</t>
    </r>
  </si>
  <si>
    <r>
      <t xml:space="preserve">Прокладка и монтаж  кабель каналов, коробов ПВХ по конструкциям размером </t>
    </r>
    <r>
      <rPr>
        <sz val="10"/>
        <color rgb="FF0000FF"/>
        <rFont val="Consolas"/>
        <family val="3"/>
        <charset val="204"/>
      </rPr>
      <t xml:space="preserve"> 100Х60</t>
    </r>
  </si>
  <si>
    <r>
      <t xml:space="preserve">Прокладка и монтаж  кабель каналов, коробов ПВХ по конструкциям размером более </t>
    </r>
    <r>
      <rPr>
        <sz val="10"/>
        <color rgb="FF0000FF"/>
        <rFont val="Consolas"/>
        <family val="3"/>
        <charset val="204"/>
      </rPr>
      <t>100Х60</t>
    </r>
  </si>
  <si>
    <t>СМР, независимо от материалов поверхности, включая сопутствующие работы: подгонка длин, сборка и установка комплектующих, стоимость основных и крепежных материалов.</t>
  </si>
  <si>
    <t>СМР, независимо от материалов поверхности, включая сопутствующие работы: подгонка длин, стоимость основных и  крепежных материалов.</t>
  </si>
  <si>
    <t xml:space="preserve">Монтаж кабельных лотков потолочного/настенного типа, включая работы по установке узлов крепления, фурнитуры, поворотных элементов, сопутствующих работ, заземления (при необходимости), стоимость основных и  крепежных материалов. </t>
  </si>
  <si>
    <r>
      <t xml:space="preserve">Прокладка и монтаж трубы (жесткая оцинкованная) по конструкциям </t>
    </r>
    <r>
      <rPr>
        <sz val="10"/>
        <color rgb="FF0000FF"/>
        <rFont val="Consolas"/>
        <family val="3"/>
        <charset val="204"/>
      </rPr>
      <t>Д до 50 мм</t>
    </r>
  </si>
  <si>
    <r>
      <t xml:space="preserve">Прокладка и монтаж гофры, по конструкциям Д </t>
    </r>
    <r>
      <rPr>
        <sz val="10"/>
        <color rgb="FF0000FF"/>
        <rFont val="Consolas"/>
        <family val="3"/>
        <charset val="204"/>
      </rPr>
      <t xml:space="preserve">до 50 мм </t>
    </r>
  </si>
  <si>
    <r>
      <t xml:space="preserve">Прокладка и монтаж кабельных ( в т.ч. перфорированных, металлических) лотков </t>
    </r>
    <r>
      <rPr>
        <sz val="10"/>
        <color rgb="FF0000FF"/>
        <rFont val="Consolas"/>
        <family val="3"/>
        <charset val="204"/>
      </rPr>
      <t>до 200 мм</t>
    </r>
    <r>
      <rPr>
        <sz val="10"/>
        <color theme="1"/>
        <rFont val="Consolas"/>
        <family val="3"/>
        <charset val="204"/>
      </rPr>
      <t>, со всеми комплектующими (крышка, заглушки, повороты, соединительные элементы и прочее)</t>
    </r>
  </si>
  <si>
    <r>
      <t xml:space="preserve">Прокладка и монтаж кабельных ( в т.ч.  перфорированных, металлических) лотков </t>
    </r>
    <r>
      <rPr>
        <sz val="10"/>
        <color rgb="FF0000FF"/>
        <rFont val="Consolas"/>
        <family val="3"/>
        <charset val="204"/>
      </rPr>
      <t>до 600 мм</t>
    </r>
    <r>
      <rPr>
        <sz val="10"/>
        <color theme="1"/>
        <rFont val="Consolas"/>
        <family val="3"/>
        <charset val="204"/>
      </rPr>
      <t>, со всеми комплектующими (крышка, заглушки, повороты, соединительные элементы и прочее)</t>
    </r>
  </si>
  <si>
    <r>
      <t xml:space="preserve">Прокладка, монтаж, трассировка кабеля  UTP  cat 5e, 6е </t>
    </r>
    <r>
      <rPr>
        <sz val="10"/>
        <color rgb="FF0000FF"/>
        <rFont val="Consolas"/>
        <family val="3"/>
        <charset val="204"/>
      </rPr>
      <t>до 4 пар</t>
    </r>
    <r>
      <rPr>
        <sz val="10"/>
        <rFont val="Consolas"/>
        <family val="3"/>
        <charset val="204"/>
      </rPr>
      <t xml:space="preserve"> в коробе, в лотке, кабельном канале, трубе, гофре и т.д.</t>
    </r>
  </si>
  <si>
    <r>
      <t xml:space="preserve">Прокладка, монтаж, трассировка  силового кабеля (провода) емкостью </t>
    </r>
    <r>
      <rPr>
        <sz val="10"/>
        <color rgb="FF0000FF"/>
        <rFont val="Consolas"/>
        <family val="3"/>
        <charset val="204"/>
      </rPr>
      <t>до  3х2,5 мм2,</t>
    </r>
    <r>
      <rPr>
        <sz val="10"/>
        <rFont val="Consolas"/>
        <family val="3"/>
        <charset val="204"/>
      </rPr>
      <t xml:space="preserve"> в коробе, в лотке, кабельном канале, трубе, гофре, металлорукаве  и т.д.</t>
    </r>
  </si>
  <si>
    <r>
      <t xml:space="preserve">Прокладка, монтаж, трассировка силового кабеля (провода) емкостью </t>
    </r>
    <r>
      <rPr>
        <sz val="10"/>
        <color rgb="FF0000FF"/>
        <rFont val="Consolas"/>
        <family val="3"/>
        <charset val="204"/>
      </rPr>
      <t>до  5х4 мм2</t>
    </r>
    <r>
      <rPr>
        <sz val="10"/>
        <rFont val="Consolas"/>
        <family val="3"/>
        <charset val="204"/>
      </rPr>
      <t>, в коробе, в лотке, кабельном канале, трубе, гофре,металлорукаве  и т.д.</t>
    </r>
  </si>
  <si>
    <r>
      <t xml:space="preserve">Прокладка, монтаж, трассировка силового кабеля (провода) емкостью </t>
    </r>
    <r>
      <rPr>
        <sz val="10"/>
        <color rgb="FF0000FF"/>
        <rFont val="Consolas"/>
        <family val="3"/>
        <charset val="204"/>
      </rPr>
      <t>до  5х10 мм2</t>
    </r>
    <r>
      <rPr>
        <sz val="10"/>
        <color theme="1"/>
        <rFont val="Consolas"/>
        <family val="3"/>
        <charset val="204"/>
      </rPr>
      <t>, в коробе, в лотке, кабельном канале, трубе, гофре,металлорукаве  и т.д.</t>
    </r>
  </si>
  <si>
    <r>
      <t xml:space="preserve">Прокладка, монтаж, трассировка силового кабеля (провода) емкостью </t>
    </r>
    <r>
      <rPr>
        <sz val="10"/>
        <color rgb="FF0000FF"/>
        <rFont val="Consolas"/>
        <family val="3"/>
        <charset val="204"/>
      </rPr>
      <t>до  5х16 мм2</t>
    </r>
    <r>
      <rPr>
        <sz val="10"/>
        <color theme="1"/>
        <rFont val="Consolas"/>
        <family val="3"/>
        <charset val="204"/>
      </rPr>
      <t>, в коробе, в лотке, кабельном канале, трубе, гофре,металлорукаве  и т.д.</t>
    </r>
  </si>
  <si>
    <r>
      <t xml:space="preserve">Прокладка, монтаж, трассировка силового кабеля (провода) емкостью </t>
    </r>
    <r>
      <rPr>
        <sz val="10"/>
        <color rgb="FF0000FF"/>
        <rFont val="Consolas"/>
        <family val="3"/>
        <charset val="204"/>
      </rPr>
      <t>до  5х35 мм2</t>
    </r>
    <r>
      <rPr>
        <sz val="10"/>
        <color theme="1"/>
        <rFont val="Consolas"/>
        <family val="3"/>
        <charset val="204"/>
      </rPr>
      <t>, в коробе, в лотке, кабельном канале, трубе, гофре,металлорукаве  и т.д.</t>
    </r>
  </si>
  <si>
    <r>
      <t xml:space="preserve">Прокладка, монтаж, трассировка силового кабеля (провода) емкостью </t>
    </r>
    <r>
      <rPr>
        <sz val="10"/>
        <color rgb="FF0000FF"/>
        <rFont val="Consolas"/>
        <family val="3"/>
        <charset val="204"/>
      </rPr>
      <t>до  5х70 мм2</t>
    </r>
    <r>
      <rPr>
        <sz val="10"/>
        <color theme="1"/>
        <rFont val="Consolas"/>
        <family val="3"/>
        <charset val="204"/>
      </rPr>
      <t>, в коробе, в лотке, кабельном канале, трубе, гофре,металлорукаве  и т.д.</t>
    </r>
  </si>
  <si>
    <r>
      <t xml:space="preserve">Прокладка, монтаж, трассировка силового кабеля (провода) емкостью </t>
    </r>
    <r>
      <rPr>
        <sz val="10"/>
        <color rgb="FF0000FF"/>
        <rFont val="Consolas"/>
        <family val="3"/>
        <charset val="204"/>
      </rPr>
      <t>до  5х95 мм2</t>
    </r>
    <r>
      <rPr>
        <sz val="10"/>
        <color theme="1"/>
        <rFont val="Consolas"/>
        <family val="3"/>
        <charset val="204"/>
      </rPr>
      <t>, в коробе, в лотке, кабельном канале, трубе, гофре,металлорукаве  и т.д.</t>
    </r>
  </si>
  <si>
    <r>
      <t xml:space="preserve">Прокладка, монтаж, трассировка кабеля UTP  cat 5e </t>
    </r>
    <r>
      <rPr>
        <sz val="10"/>
        <color rgb="FF0000FF"/>
        <rFont val="Consolas"/>
        <family val="3"/>
        <charset val="204"/>
      </rPr>
      <t xml:space="preserve">до 4 пар в штробе или открытым способом </t>
    </r>
    <r>
      <rPr>
        <sz val="10"/>
        <rFont val="Consolas"/>
        <family val="3"/>
        <charset val="204"/>
      </rPr>
      <t>креплением  накладными скобами</t>
    </r>
  </si>
  <si>
    <r>
      <t xml:space="preserve">Прокладка, монтаж, трассировка </t>
    </r>
    <r>
      <rPr>
        <sz val="10"/>
        <color rgb="FF0000FF"/>
        <rFont val="Consolas"/>
        <family val="3"/>
        <charset val="204"/>
      </rPr>
      <t>силового кабеля (провода) в штробе или открытым способом</t>
    </r>
    <r>
      <rPr>
        <sz val="10"/>
        <rFont val="Consolas"/>
        <family val="3"/>
        <charset val="204"/>
      </rPr>
      <t xml:space="preserve"> креплением  накладными скобами, независимо от сечения и количества жил кабеля</t>
    </r>
  </si>
  <si>
    <r>
      <t xml:space="preserve">Прокладка, монтаж, трассировка </t>
    </r>
    <r>
      <rPr>
        <sz val="10"/>
        <color rgb="FF0000FF"/>
        <rFont val="Consolas"/>
        <family val="3"/>
        <charset val="204"/>
      </rPr>
      <t>коаксиального кабеля  в коробе, в лотке, кабельном канале, трубе, гофре</t>
    </r>
    <r>
      <rPr>
        <sz val="10"/>
        <rFont val="Consolas"/>
        <family val="3"/>
        <charset val="204"/>
      </rPr>
      <t xml:space="preserve"> и т.д.</t>
    </r>
  </si>
  <si>
    <r>
      <t xml:space="preserve">Установка, монтаж, подключение  розеток RJ45, RJ12, RG11 </t>
    </r>
    <r>
      <rPr>
        <sz val="10"/>
        <color rgb="FF0000FF"/>
        <rFont val="Consolas"/>
        <family val="3"/>
        <charset val="204"/>
      </rPr>
      <t>(скрытый монтаж)</t>
    </r>
  </si>
  <si>
    <r>
      <t xml:space="preserve">Установка, монтаж, подключение  розеток RJ45, RJ12, RG11 </t>
    </r>
    <r>
      <rPr>
        <sz val="10"/>
        <color rgb="FF0000FF"/>
        <rFont val="Consolas"/>
        <family val="3"/>
        <charset val="204"/>
      </rPr>
      <t>(открытый монтаж)</t>
    </r>
  </si>
  <si>
    <r>
      <t xml:space="preserve">Установка, монтаж, подключение  розеток RJ45, RJ12, RG11 </t>
    </r>
    <r>
      <rPr>
        <sz val="10"/>
        <color rgb="FF0000FF"/>
        <rFont val="Consolas"/>
        <family val="3"/>
        <charset val="204"/>
      </rPr>
      <t>в/на короб/кабель канал</t>
    </r>
  </si>
  <si>
    <t>СМР, включая и не ограничиваясь перечисленным: установка, монтаж информационной розетки в/на короб/кабель-канал (мини колонна), стоимость основных и крепежных материалов.</t>
  </si>
  <si>
    <t>СМР, установка, монтаж информационной розетки в стену, независимо от материалов поверхности, включая и не ограничиваясь перечисленным:  устройство  отверстия в стене с  заделкой,  устройство гнезд для подрозетников с восстановлением отделки стен, установкой розетки, стоимость основных и  крепежных материалов.</t>
  </si>
  <si>
    <r>
      <t xml:space="preserve">Установка и подключение автоматического  выключателя (220В,50Гц), с номинальным током </t>
    </r>
    <r>
      <rPr>
        <sz val="10"/>
        <color rgb="FF0000FF"/>
        <rFont val="Consolas"/>
        <family val="3"/>
        <charset val="204"/>
      </rPr>
      <t xml:space="preserve">до 63 А </t>
    </r>
    <r>
      <rPr>
        <sz val="10"/>
        <color theme="1"/>
        <rFont val="Consolas"/>
        <family val="3"/>
        <charset val="204"/>
      </rPr>
      <t>во вводно-распределительном устройстве здания, включая стоимость основных и крепежных материалов.</t>
    </r>
  </si>
  <si>
    <r>
      <t xml:space="preserve">Установка и подключение автоматического  выключателя трех полюсного, с номинальным током </t>
    </r>
    <r>
      <rPr>
        <sz val="10"/>
        <color rgb="FF0000FF"/>
        <rFont val="Consolas"/>
        <family val="3"/>
        <charset val="204"/>
      </rPr>
      <t>до 25 А</t>
    </r>
    <r>
      <rPr>
        <sz val="10"/>
        <color theme="1"/>
        <rFont val="Consolas"/>
        <family val="3"/>
        <charset val="204"/>
      </rPr>
      <t xml:space="preserve"> во вводно-распределительном устройстве здания, включая стоимость основных и крепежных материалов.</t>
    </r>
  </si>
  <si>
    <r>
      <t xml:space="preserve">Установка и подключение автоматического  выключателя трех полюсного, с номинальным током </t>
    </r>
    <r>
      <rPr>
        <sz val="10"/>
        <color rgb="FF0000FF"/>
        <rFont val="Consolas"/>
        <family val="3"/>
        <charset val="204"/>
      </rPr>
      <t>от 25 до 63 А</t>
    </r>
    <r>
      <rPr>
        <sz val="10"/>
        <color theme="1"/>
        <rFont val="Consolas"/>
        <family val="3"/>
        <charset val="204"/>
      </rPr>
      <t xml:space="preserve"> во вводно-распределительном устройстве здания, включая стоимость основных и крепежных материалов.</t>
    </r>
  </si>
  <si>
    <r>
      <t xml:space="preserve">Установка автоматического выключателя </t>
    </r>
    <r>
      <rPr>
        <sz val="10"/>
        <color rgb="FF0000FF"/>
        <rFont val="Consolas"/>
        <family val="3"/>
        <charset val="204"/>
      </rPr>
      <t>3- полюсного (до 25А включительно)</t>
    </r>
  </si>
  <si>
    <r>
      <t xml:space="preserve">Установка автоматического выключателя </t>
    </r>
    <r>
      <rPr>
        <sz val="10"/>
        <color rgb="FF0000FF"/>
        <rFont val="Consolas"/>
        <family val="3"/>
        <charset val="204"/>
      </rPr>
      <t>3- полюсного (от 25А до 63А включительно)</t>
    </r>
  </si>
  <si>
    <r>
      <t xml:space="preserve">Установка выключателя нагрузки </t>
    </r>
    <r>
      <rPr>
        <sz val="10"/>
        <color rgb="FF0000FF"/>
        <rFont val="Consolas"/>
        <family val="3"/>
        <charset val="204"/>
      </rPr>
      <t>(до  40А включительно)</t>
    </r>
  </si>
  <si>
    <r>
      <t xml:space="preserve">Установка и подключение выключателя нагрузки, с номинальным током </t>
    </r>
    <r>
      <rPr>
        <sz val="10"/>
        <color rgb="FF0000FF"/>
        <rFont val="Consolas"/>
        <family val="3"/>
        <charset val="204"/>
      </rPr>
      <t>до  40 А</t>
    </r>
    <r>
      <rPr>
        <sz val="10"/>
        <color theme="1"/>
        <rFont val="Consolas"/>
        <family val="3"/>
        <charset val="204"/>
      </rPr>
      <t xml:space="preserve"> во вводно-распределительном устройстве здания, включая стоимость основных и крепежных материалов.</t>
    </r>
  </si>
  <si>
    <r>
      <t xml:space="preserve">Установка выключателя нагрузки </t>
    </r>
    <r>
      <rPr>
        <sz val="10"/>
        <color rgb="FF0000FF"/>
        <rFont val="Consolas"/>
        <family val="3"/>
        <charset val="204"/>
      </rPr>
      <t>(более  40А)</t>
    </r>
  </si>
  <si>
    <r>
      <t xml:space="preserve">Установка и подключение выключателя нагрузки, с номинальным током </t>
    </r>
    <r>
      <rPr>
        <sz val="10"/>
        <color rgb="FF0000FF"/>
        <rFont val="Consolas"/>
        <family val="3"/>
        <charset val="204"/>
      </rPr>
      <t>более  40 А</t>
    </r>
    <r>
      <rPr>
        <sz val="10"/>
        <color theme="1"/>
        <rFont val="Consolas"/>
        <family val="3"/>
        <charset val="204"/>
      </rPr>
      <t xml:space="preserve"> во вводно-распределительном устройстве здания, включая стоимость основных и крепежных материалов.</t>
    </r>
  </si>
  <si>
    <r>
      <t xml:space="preserve">Монтаж навесного бокса (щита) распределительного </t>
    </r>
    <r>
      <rPr>
        <sz val="10"/>
        <color rgb="FF0000FF"/>
        <rFont val="Consolas"/>
        <family val="3"/>
        <charset val="204"/>
      </rPr>
      <t xml:space="preserve"> до 24 модулей</t>
    </r>
    <r>
      <rPr>
        <sz val="10"/>
        <color theme="1"/>
        <rFont val="Consolas"/>
        <family val="3"/>
        <charset val="204"/>
      </rPr>
      <t xml:space="preserve"> (включительно)</t>
    </r>
  </si>
  <si>
    <r>
      <t xml:space="preserve">Монтаж бокса (щита) распределительного </t>
    </r>
    <r>
      <rPr>
        <sz val="10"/>
        <color rgb="FF0000FF"/>
        <rFont val="Consolas"/>
        <family val="3"/>
        <charset val="204"/>
      </rPr>
      <t xml:space="preserve"> более 24 модулей</t>
    </r>
  </si>
  <si>
    <r>
      <t xml:space="preserve">Установка, монтаж, подключение розетки, выключателя </t>
    </r>
    <r>
      <rPr>
        <sz val="10"/>
        <color rgb="FF0000FF"/>
        <rFont val="Consolas"/>
        <family val="3"/>
        <charset val="204"/>
      </rPr>
      <t>(скрытый монтаж)</t>
    </r>
  </si>
  <si>
    <r>
      <t xml:space="preserve">Установка, монтаж , подключение розетки, выключателя </t>
    </r>
    <r>
      <rPr>
        <sz val="10"/>
        <color rgb="FF0000FF"/>
        <rFont val="Consolas"/>
        <family val="3"/>
        <charset val="204"/>
      </rPr>
      <t>(открытый монтаж)</t>
    </r>
  </si>
  <si>
    <r>
      <t>Устанвока,монтаж, подключение розетки, выключателя</t>
    </r>
    <r>
      <rPr>
        <sz val="10"/>
        <color rgb="FF0000FF"/>
        <rFont val="Consolas"/>
        <family val="3"/>
        <charset val="204"/>
      </rPr>
      <t xml:space="preserve"> в/на короб/кабель канал</t>
    </r>
  </si>
  <si>
    <t>СМР, Установка, монтаж розетки, выключателя в стену, независимо от материалов поверхности, включая и не ограничиваясь перечисленным: устройство  отверстия в стене с  заделкой,  устройство гнезд для подрозетников с восстановлением отделки стен, стоимость основных и  крепежных материалов.</t>
  </si>
  <si>
    <t xml:space="preserve">Расценка применяется при выполнении комплекса работ по СКС на одном объекте
* При единовременном монтаже применять  понижающий коэффициент (К):  
- 2-я ед. оборудования  * К 0,7;
- 3-я ед. оборудования * К 0,6;
- 4-я ед. оборудования * К 0,5;
- 5-я ед. оборудования * К 0,4;
- 6-я ед. оборудования - ∞ * К 0,3. </t>
  </si>
  <si>
    <r>
      <t xml:space="preserve">Монтаж патч-панели </t>
    </r>
    <r>
      <rPr>
        <sz val="10"/>
        <color rgb="FF0000FF"/>
        <rFont val="Consolas"/>
        <family val="3"/>
        <charset val="204"/>
      </rPr>
      <t xml:space="preserve">24 порта </t>
    </r>
    <r>
      <rPr>
        <sz val="10"/>
        <color theme="1"/>
        <rFont val="Consolas"/>
        <family val="3"/>
        <charset val="204"/>
      </rPr>
      <t>/кросс-панели в телекоммуникационный шкаф (стойку)</t>
    </r>
  </si>
  <si>
    <r>
      <t xml:space="preserve">Монтаж патч-панели </t>
    </r>
    <r>
      <rPr>
        <sz val="10"/>
        <color rgb="FF0000FF"/>
        <rFont val="Consolas"/>
        <family val="3"/>
        <charset val="204"/>
      </rPr>
      <t>48 портов</t>
    </r>
    <r>
      <rPr>
        <sz val="10"/>
        <color theme="1"/>
        <rFont val="Consolas"/>
        <family val="3"/>
        <charset val="204"/>
      </rPr>
      <t xml:space="preserve"> /кросс-панели в телекоммуникационный шкаф (стойку)</t>
    </r>
  </si>
  <si>
    <r>
      <t xml:space="preserve">СМР,  установка, монтаж патч-панели </t>
    </r>
    <r>
      <rPr>
        <sz val="10"/>
        <color rgb="FF0000FF"/>
        <rFont val="Consolas"/>
        <family val="3"/>
        <charset val="204"/>
      </rPr>
      <t>24 порта</t>
    </r>
    <r>
      <rPr>
        <sz val="10"/>
        <color theme="1"/>
        <rFont val="Consolas"/>
        <family val="3"/>
        <charset val="204"/>
      </rPr>
      <t>/кросс-панели  в телекоммуникационный шкаф (стойку), включая стоимость основных и  крепежных материалов.</t>
    </r>
  </si>
  <si>
    <r>
      <t xml:space="preserve">СМР,  установка, монтаж патч-панели </t>
    </r>
    <r>
      <rPr>
        <sz val="10"/>
        <color rgb="FF0000FF"/>
        <rFont val="Consolas"/>
        <family val="3"/>
        <charset val="204"/>
      </rPr>
      <t xml:space="preserve">48 портов </t>
    </r>
    <r>
      <rPr>
        <sz val="10"/>
        <color theme="1"/>
        <rFont val="Consolas"/>
        <family val="3"/>
        <charset val="204"/>
      </rPr>
      <t>/кросс-панели телекоммуникационный шкаф (стойку), включая стоимость основных и  крепежных материалов.</t>
    </r>
  </si>
  <si>
    <t>СМР, с учетом сопутствующих работ и стоимости материалов.
Внесение данных в исполнительную документацию (в кабельный журнал).</t>
  </si>
  <si>
    <t>Демонтаж оборудования/ патч панели/ кросс-панели/ кабельного органайзера/ полки/ оптического кроссового шкафа в телекоммуникационном шкафу/ стойке</t>
  </si>
  <si>
    <t>СМР, с учетом сопутствующих работ измерительными приборами, составление отчета измерений и сертификации,
Внесение данных в исполнительную документацию.</t>
  </si>
  <si>
    <t xml:space="preserve">Пусконаладочные работы по электромонтажным  работам,замер полного сопротивления цепи "фаза-нуль", проверка наличия цепи между заземлителями и заземленными элементами, прогрузка автомата, составление протокола, внесение в исполнительную документацию. (Линия, цепь) </t>
  </si>
  <si>
    <r>
      <t xml:space="preserve">Монтаж технологического проходного отверстия в стене  </t>
    </r>
    <r>
      <rPr>
        <sz val="10"/>
        <color rgb="FF0000FF"/>
        <rFont val="Consolas"/>
        <family val="3"/>
        <charset val="204"/>
      </rPr>
      <t>100 мм</t>
    </r>
  </si>
  <si>
    <r>
      <t>СМР, монтаж технологического отверстия</t>
    </r>
    <r>
      <rPr>
        <sz val="10"/>
        <color rgb="FF0000FF"/>
        <rFont val="Consolas"/>
        <family val="3"/>
        <charset val="204"/>
      </rPr>
      <t xml:space="preserve"> 100 мм</t>
    </r>
    <r>
      <rPr>
        <sz val="10"/>
        <color theme="1"/>
        <rFont val="Consolas"/>
        <family val="3"/>
        <charset val="204"/>
      </rPr>
      <t xml:space="preserve"> в стене из бетонных/кирпичных/ легковозводимых материалов, установка изолирующего соединителя,  включая сопутствующие работы, герметизация стоп-огонь.</t>
    </r>
  </si>
  <si>
    <r>
      <t xml:space="preserve">Монтаж технологического проходного отверстия в стене </t>
    </r>
    <r>
      <rPr>
        <sz val="10"/>
        <color rgb="FF0000FF"/>
        <rFont val="Consolas"/>
        <family val="3"/>
        <charset val="204"/>
      </rPr>
      <t>300 мм</t>
    </r>
  </si>
  <si>
    <r>
      <t xml:space="preserve">СМР, монтаж технологического отверстия </t>
    </r>
    <r>
      <rPr>
        <sz val="10"/>
        <color rgb="FF0000FF"/>
        <rFont val="Consolas"/>
        <family val="3"/>
        <charset val="204"/>
      </rPr>
      <t>300 мм</t>
    </r>
    <r>
      <rPr>
        <sz val="10"/>
        <color theme="1"/>
        <rFont val="Consolas"/>
        <family val="3"/>
        <charset val="204"/>
      </rPr>
      <t xml:space="preserve"> в стене из бетонных/кирпичных/ легковозводимых материалов, установка изолирующего соединителя,  включая сопутствующие работы, герметизация стоп-огонь.</t>
    </r>
  </si>
  <si>
    <r>
      <t xml:space="preserve">Монтаж технологического проходного отверстия в стене </t>
    </r>
    <r>
      <rPr>
        <sz val="10"/>
        <color rgb="FF0000FF"/>
        <rFont val="Consolas"/>
        <family val="3"/>
        <charset val="204"/>
      </rPr>
      <t>50 мм</t>
    </r>
  </si>
  <si>
    <r>
      <t xml:space="preserve">СМР, монтаж технологического отверстия </t>
    </r>
    <r>
      <rPr>
        <sz val="10"/>
        <color rgb="FF0000FF"/>
        <rFont val="Consolas"/>
        <family val="3"/>
        <charset val="204"/>
      </rPr>
      <t>50 мм</t>
    </r>
    <r>
      <rPr>
        <sz val="10"/>
        <color theme="1"/>
        <rFont val="Consolas"/>
        <family val="3"/>
        <charset val="204"/>
      </rPr>
      <t xml:space="preserve"> в стене из бетонных/кирпичных/ легковозводимых материалов, установка изолирующего соединителя,  включая сопутствующие работы, герметизация стоп-огонь.</t>
    </r>
  </si>
  <si>
    <t>Применяется с работами  6.19; 8.1.9-8.1.10  при наличии обоснования для использования</t>
  </si>
  <si>
    <t xml:space="preserve">Укладка антистатического  линолеума </t>
  </si>
  <si>
    <t>Может применяться с работами других разделов</t>
  </si>
  <si>
    <r>
      <t xml:space="preserve">Коэффициент при проведении работ на высоте </t>
    </r>
    <r>
      <rPr>
        <sz val="10"/>
        <color rgb="FF0000FF"/>
        <rFont val="Consolas"/>
        <family val="3"/>
        <charset val="204"/>
      </rPr>
      <t xml:space="preserve">свыше 4 метров </t>
    </r>
    <r>
      <rPr>
        <sz val="10"/>
        <color theme="1"/>
        <rFont val="Consolas"/>
        <family val="3"/>
        <charset val="204"/>
      </rPr>
      <t>(при выполнении внутренних работ)</t>
    </r>
  </si>
  <si>
    <t>Предустановка/установка программного обеспечения Заказчика, 'проверка наличия физического соединения; настройка сетевых параметров; заведение в домен (например, посредством запуска заранее подготовленного скрипта);
проверка связности со шлюзом по умолчанию (пинг из «черного окна», cmd);
проверка доступа в локальным ресурсам Заказчика (по инструкции);
проверка доступа в внешним ресурсам Интернет (по инструкции);
настройка подключения к сетевым принтерам (или по инструкции или посредством запуска скрипта);
проверка сетевой печати;
настройка почтового клиента (по инструкции или посредством запуска скрипта);
проверка работы электронной почты – отправка/ получение тестового сообщения по инструкции.</t>
  </si>
  <si>
    <r>
      <t xml:space="preserve">Монтаж/установка телевизионной панели </t>
    </r>
    <r>
      <rPr>
        <sz val="10"/>
        <color rgb="FF0000FF"/>
        <rFont val="Consolas"/>
        <family val="3"/>
        <charset val="204"/>
      </rPr>
      <t>до 55 дюймов</t>
    </r>
  </si>
  <si>
    <r>
      <t xml:space="preserve">Монтаж/установка телевизионной панели </t>
    </r>
    <r>
      <rPr>
        <sz val="10"/>
        <color rgb="FF0000FF"/>
        <rFont val="Consolas"/>
        <family val="3"/>
        <charset val="204"/>
      </rPr>
      <t>свыше 55 дюймов</t>
    </r>
  </si>
  <si>
    <r>
      <t xml:space="preserve">СМР: В том числе включая и не ограничиваясь перечисленным: монтаж/установка телевизионной панели размером диагонали </t>
    </r>
    <r>
      <rPr>
        <sz val="10"/>
        <color rgb="FF0000FF"/>
        <rFont val="Consolas"/>
        <family val="3"/>
        <charset val="204"/>
      </rPr>
      <t>до 55 дюймов</t>
    </r>
    <r>
      <rPr>
        <sz val="10"/>
        <color theme="1"/>
        <rFont val="Consolas"/>
        <family val="3"/>
        <charset val="204"/>
      </rPr>
      <t xml:space="preserve">, разметка и сверление отверстий, установка кронштейна, завинчивание винтов до проектного усилия, коммутация, подключение к сети электропитания. </t>
    </r>
  </si>
  <si>
    <r>
      <t xml:space="preserve">СМР: В том числе включая и не ограничиваясь перечисленным: монтаж/установка телевизионной панели размером диагонали </t>
    </r>
    <r>
      <rPr>
        <sz val="10"/>
        <color rgb="FF0000FF"/>
        <rFont val="Consolas"/>
        <family val="3"/>
        <charset val="204"/>
      </rPr>
      <t>свыше 55 дюймов</t>
    </r>
    <r>
      <rPr>
        <sz val="10"/>
        <color theme="1"/>
        <rFont val="Consolas"/>
        <family val="3"/>
        <charset val="204"/>
      </rPr>
      <t>, разметка и сверление отверстий, установка кронштейна, завинчивание винтов до проектного усилия, коммутация, подключение к сети электропитания.</t>
    </r>
  </si>
  <si>
    <t>Протяженность по работам, указанным в пп.5.5-5.7 учитывается  по профилю ГНБ/ГНП перехода;</t>
  </si>
  <si>
    <t>Указанный в настоящих расценках параметр "до" включает в себя этот размер / количество.Параметр "от" не включает указанный размер/количество</t>
  </si>
  <si>
    <t>В разделе 6 "Устройство линий связи"- прокладка в трубах подразумевает обязательное использование труб ПНД d=20 мм  и типа-тяжёлые с протяжкой (зондом), при прокладке под заливку полов и т.п.</t>
  </si>
  <si>
    <t>Для определения количества построенных портов FTTB считается кол-во портов коммутаторов доступа, подключенных медным патч-кордами в ТШ к многопарному кабелю UTP построенной ДРС.</t>
  </si>
  <si>
    <r>
      <t>Устройство кабельного ввода в  здание в фундаментном основании  от существующего колодца (</t>
    </r>
    <r>
      <rPr>
        <sz val="10"/>
        <color rgb="FF0000FF"/>
        <rFont val="Consolas"/>
        <family val="3"/>
        <charset val="204"/>
      </rPr>
      <t>из расчета  до 30 м</t>
    </r>
    <r>
      <rPr>
        <sz val="10"/>
        <color theme="1"/>
        <rFont val="Consolas"/>
        <family val="3"/>
        <charset val="204"/>
      </rPr>
      <t>).
В случае необходимости (</t>
    </r>
    <r>
      <rPr>
        <sz val="10"/>
        <color rgb="FF0000FF"/>
        <rFont val="Consolas"/>
        <family val="3"/>
        <charset val="204"/>
      </rPr>
      <t>более 30 м</t>
    </r>
    <r>
      <rPr>
        <sz val="10"/>
        <color theme="1"/>
        <rFont val="Consolas"/>
        <family val="3"/>
        <charset val="204"/>
      </rPr>
      <t>) канализация достраивается по соответствующим расценкам.</t>
    </r>
  </si>
  <si>
    <r>
      <t xml:space="preserve">Монтаж оптических кроссовых шкафов (включая монтаж пигтейлов и с учётом расходных и монтажных материалов). 
</t>
    </r>
    <r>
      <rPr>
        <sz val="10"/>
        <color rgb="FF0000FF"/>
        <rFont val="Consolas"/>
        <family val="3"/>
        <charset val="204"/>
      </rPr>
      <t>Без учета стоимости шкафа.</t>
    </r>
  </si>
  <si>
    <r>
      <t>ПИР, СМР, Прочие затраты, не ограничиваясь перечисленным: прокладка и монтаж кабеля по стене/ существующим конструкциям (трубе/коробу/кабель-каналу)</t>
    </r>
    <r>
      <rPr>
        <b/>
        <sz val="10"/>
        <color theme="1" tint="0.14999847407452621"/>
        <rFont val="Consolas"/>
        <family val="3"/>
        <charset val="204"/>
      </rPr>
      <t xml:space="preserve"> </t>
    </r>
    <r>
      <rPr>
        <sz val="10"/>
        <color theme="1" tint="0.14999847407452621"/>
        <rFont val="Consolas"/>
        <family val="3"/>
        <charset val="204"/>
      </rPr>
      <t xml:space="preserve">от установленного ШАН/КРТ на этаже до абонентской розетки в ДХ, с учётом стоимости разделки, устройством отверстий в стенах (с установкой гильз), заделкой, с учётом стоимости кабеля, розетки RJ, прочих материалов. </t>
    </r>
    <r>
      <rPr>
        <b/>
        <sz val="10"/>
        <color theme="1" tint="0.14999847407452621"/>
        <rFont val="Consolas"/>
        <family val="3"/>
        <charset val="204"/>
      </rPr>
      <t>При выводе линии на абонентскую коробку, коробка предоставляется Заказчиком.</t>
    </r>
    <r>
      <rPr>
        <sz val="10"/>
        <color theme="1" tint="0.14999847407452621"/>
        <rFont val="Consolas"/>
        <family val="3"/>
        <charset val="204"/>
      </rPr>
      <t xml:space="preserve">  Оформление исполнительной документации.</t>
    </r>
  </si>
  <si>
    <r>
      <t xml:space="preserve">ПИР, СМР, Прочие затраты, не ограничиваясь перечисленным: монтаж конструкций (трубы/короба/кабель-канала), прокладка и монтаж кабеля от установленного ШАН/КРТ на этаже до абонентской розетки в ДХ, с учётом стоимости разделки, устройством отверстий в стенах (с установкой гильз), заделкой, с учётом стоимости трубы/короба/кабель-канала, кабеля, розетки RJ, прочих материалов.  </t>
    </r>
    <r>
      <rPr>
        <b/>
        <sz val="10"/>
        <color theme="1" tint="0.14999847407452621"/>
        <rFont val="Consolas"/>
        <family val="3"/>
        <charset val="204"/>
      </rPr>
      <t xml:space="preserve">При выводе линии на абонентскую коробку, коробка предоставляется Заказчиком. </t>
    </r>
    <r>
      <rPr>
        <sz val="10"/>
        <color theme="1" tint="0.14999847407452621"/>
        <rFont val="Consolas"/>
        <family val="3"/>
        <charset val="204"/>
      </rPr>
      <t>Оформление исполнительной документации.</t>
    </r>
  </si>
  <si>
    <r>
      <t xml:space="preserve">ПИР, СМР, Прочие затраты, не ограничиваясь перечисленным: прокладка и монтаж кабеля от установленного ШАН/КРТ на этаже до абонентской розетки в ДХ, с учётом стоимости устройства и заделки борозды, восстановления поверхности, разделки, устройством отверстий в стенах (с установкой гильз), кабеля, гофрированной трубы, розетки RJ, прочих материалов.  </t>
    </r>
    <r>
      <rPr>
        <b/>
        <sz val="10"/>
        <color theme="1" tint="0.14999847407452621"/>
        <rFont val="Consolas"/>
        <family val="3"/>
        <charset val="204"/>
      </rPr>
      <t xml:space="preserve">При выводе линии на абонентскую коробку, коробка предоставляется Заказчиком. </t>
    </r>
    <r>
      <rPr>
        <sz val="10"/>
        <color theme="1" tint="0.14999847407452621"/>
        <rFont val="Consolas"/>
        <family val="3"/>
        <charset val="204"/>
      </rPr>
      <t>Оформление исполнительной документации.</t>
    </r>
  </si>
  <si>
    <r>
      <t>ПИР, СМР, Прочие затраты, не ограничиваясь перечисленным: прокладка и монтаж кабеля по стене/ существующим конструкциям (трубе/коробу/кабель-каналу)</t>
    </r>
    <r>
      <rPr>
        <b/>
        <sz val="10"/>
        <color theme="1" tint="0.14999847407452621"/>
        <rFont val="Consolas"/>
        <family val="3"/>
        <charset val="204"/>
      </rPr>
      <t xml:space="preserve"> </t>
    </r>
    <r>
      <rPr>
        <sz val="10"/>
        <color theme="1" tint="0.14999847407452621"/>
        <rFont val="Consolas"/>
        <family val="3"/>
        <charset val="204"/>
      </rPr>
      <t xml:space="preserve">от установленной ОРК на этаже до абонентской оптической розетки в ДХ, с учётом стоимости разделки, устройством отверстий в стенах (с установкой гильз), заделкой, с учётом стоимости кабеля, абонентской оптической розетки, прочих материалов. </t>
    </r>
    <r>
      <rPr>
        <b/>
        <sz val="10"/>
        <color theme="1" tint="0.14999847407452621"/>
        <rFont val="Consolas"/>
        <family val="3"/>
        <charset val="204"/>
      </rPr>
      <t xml:space="preserve">При выводе линии на абонентскую коробку, коробка предоставляется Заказчиком. </t>
    </r>
    <r>
      <rPr>
        <sz val="10"/>
        <color theme="1" tint="0.14999847407452621"/>
        <rFont val="Consolas"/>
        <family val="3"/>
        <charset val="204"/>
      </rPr>
      <t>Оформление исполнительной документации.</t>
    </r>
  </si>
  <si>
    <r>
      <t>ПИР, СМР, Прочие затраты, не ограничиваясь перечисленным: монтаж конструкций (трубы/короба/кабель-канала), прокладка и монтаж кабеля</t>
    </r>
    <r>
      <rPr>
        <b/>
        <sz val="10"/>
        <color theme="1" tint="0.14999847407452621"/>
        <rFont val="Consolas"/>
        <family val="3"/>
        <charset val="204"/>
      </rPr>
      <t xml:space="preserve"> </t>
    </r>
    <r>
      <rPr>
        <sz val="10"/>
        <color theme="1" tint="0.14999847407452621"/>
        <rFont val="Consolas"/>
        <family val="3"/>
        <charset val="204"/>
      </rPr>
      <t>от установленной ОРК на этаже до абонентской оптической розетки в ДХ, с учётом стоимости разделки, с устройством отверстий в стенах (с установкой гильз) заделкой, с учётом стоимости трубы/короба/кабель-канала, кабеля, абонентской оптической розетки, прочих материалов.</t>
    </r>
    <r>
      <rPr>
        <b/>
        <sz val="10"/>
        <color theme="1" tint="0.14999847407452621"/>
        <rFont val="Consolas"/>
        <family val="3"/>
        <charset val="204"/>
      </rPr>
      <t xml:space="preserve"> При выводе линии на абонентскую коробку, коробка предоставляется Заказчиком.</t>
    </r>
    <r>
      <rPr>
        <sz val="10"/>
        <color theme="1" tint="0.14999847407452621"/>
        <rFont val="Consolas"/>
        <family val="3"/>
        <charset val="204"/>
      </rPr>
      <t xml:space="preserve"> Оформление исполнительной документации.</t>
    </r>
  </si>
  <si>
    <r>
      <t>ПИР, СМР, Прочие затраты, не ограничиваясь перечисленным: прокладка и монтаж кабеля</t>
    </r>
    <r>
      <rPr>
        <b/>
        <sz val="10"/>
        <color theme="1" tint="0.14999847407452621"/>
        <rFont val="Consolas"/>
        <family val="3"/>
        <charset val="204"/>
      </rPr>
      <t xml:space="preserve"> </t>
    </r>
    <r>
      <rPr>
        <sz val="10"/>
        <color theme="1" tint="0.14999847407452621"/>
        <rFont val="Consolas"/>
        <family val="3"/>
        <charset val="204"/>
      </rPr>
      <t>от установленной ОРК на этаже до абонентской оптической розетки в ДХ,  с учётом стоимости устройства и заделки борозды, восстановления поверхности, разделки, устройством отверстий в стенах (с установкой гильз), кабеля, гофрированной трубы, абонентской оптической розетки, прочих материалов.</t>
    </r>
    <r>
      <rPr>
        <b/>
        <sz val="10"/>
        <color theme="1" tint="0.14999847407452621"/>
        <rFont val="Consolas"/>
        <family val="3"/>
        <charset val="204"/>
      </rPr>
      <t xml:space="preserve"> При выводе линии на абонентскую коробку, коробка предоставляется Заказчиком.</t>
    </r>
    <r>
      <rPr>
        <sz val="10"/>
        <color theme="1" tint="0.14999847407452621"/>
        <rFont val="Consolas"/>
        <family val="3"/>
        <charset val="204"/>
      </rPr>
      <t xml:space="preserve"> Оформление исполнительной документации.</t>
    </r>
  </si>
  <si>
    <r>
      <t>ПИР, СМР, Прочие затраты, не ограничиваясь перечисленным: прокладка и монтаж кабеля по стене/ существующим конструкциям (трубе/коробу/кабель-каналу)</t>
    </r>
    <r>
      <rPr>
        <b/>
        <sz val="10"/>
        <color theme="1" tint="0.14999847407452621"/>
        <rFont val="Consolas"/>
        <family val="3"/>
        <charset val="204"/>
      </rPr>
      <t xml:space="preserve"> </t>
    </r>
    <r>
      <rPr>
        <sz val="10"/>
        <color theme="1" tint="0.14999847407452621"/>
        <rFont val="Consolas"/>
        <family val="3"/>
        <charset val="204"/>
      </rPr>
      <t xml:space="preserve">от установленного ШАН/КРТ на этаже до абонентской розетки в ДХ, с учётом стоимости разделки, устройством отверстий в стенах (с установкой гильз), заделкой, с учётом стоимости кабеля, розетки RJ, прочих материалов. </t>
    </r>
    <r>
      <rPr>
        <b/>
        <sz val="10"/>
        <color theme="1" tint="0.14999847407452621"/>
        <rFont val="Consolas"/>
        <family val="3"/>
        <charset val="204"/>
      </rPr>
      <t>При выводе линии на абонентскую коробку, коробка предоставляется Заказчиком.</t>
    </r>
    <r>
      <rPr>
        <sz val="10"/>
        <color theme="1" tint="0.14999847407452621"/>
        <rFont val="Consolas"/>
        <family val="3"/>
        <charset val="204"/>
      </rPr>
      <t xml:space="preserve"> Оформление исполнительной документации.</t>
    </r>
  </si>
  <si>
    <r>
      <t xml:space="preserve">ПИР, СМР, Прочие затраты, не ограничиваясь перечисленным: монтаж конструкций (трубы/короба/кабель-канала), прокладка и монтаж кабеля от установленного ШАН/КРТ на этаже до абонентской розетки в ДХ, с учётом стоимости разделки, устройством отверстий в стенах (с установкой гильз), заделкой, с учётом стоимости трубы/короба/кабель-канала, кабеля, розетки RJ, прочих материалов. </t>
    </r>
    <r>
      <rPr>
        <b/>
        <sz val="10"/>
        <color theme="1" tint="0.14999847407452621"/>
        <rFont val="Consolas"/>
        <family val="3"/>
        <charset val="204"/>
      </rPr>
      <t xml:space="preserve">При выводе линии на абонентскую коробку, коробка предоставляется Заказчиком. </t>
    </r>
    <r>
      <rPr>
        <sz val="10"/>
        <color theme="1" tint="0.14999847407452621"/>
        <rFont val="Consolas"/>
        <family val="3"/>
        <charset val="204"/>
      </rPr>
      <t>Оформление исполнительной документации.</t>
    </r>
  </si>
  <si>
    <r>
      <t>ПИР, СМР, Прочие затраты, не ограничиваясь перечисленным: прокладка и монтаж кабеля по стене/ существующим конструкциям (трубе/коробу/кабель-каналу)</t>
    </r>
    <r>
      <rPr>
        <b/>
        <sz val="10"/>
        <color theme="1" tint="0.14999847407452621"/>
        <rFont val="Consolas"/>
        <family val="3"/>
        <charset val="204"/>
      </rPr>
      <t xml:space="preserve"> </t>
    </r>
    <r>
      <rPr>
        <sz val="10"/>
        <color theme="1" tint="0.14999847407452621"/>
        <rFont val="Consolas"/>
        <family val="3"/>
        <charset val="204"/>
      </rPr>
      <t xml:space="preserve">от установленного разветвителя КТВ на этаже до абонентской  розетки в ДХ или вновь устанавливаемого разъема F-типа, с учётом стоимости разделки, устройством отверстий в стенах (с установкой гильз), заделкой, с учётом стоимости кабеля, абонентской розетки/разъемов F-типа, прочих материалов. </t>
    </r>
    <r>
      <rPr>
        <b/>
        <sz val="10"/>
        <color theme="1" tint="0.14999847407452621"/>
        <rFont val="Consolas"/>
        <family val="3"/>
        <charset val="204"/>
      </rPr>
      <t xml:space="preserve">При выводе линии на абонентскую коробку, коробка предоставляется Заказчиком. </t>
    </r>
    <r>
      <rPr>
        <sz val="10"/>
        <color theme="1" tint="0.14999847407452621"/>
        <rFont val="Consolas"/>
        <family val="3"/>
        <charset val="204"/>
      </rPr>
      <t>Оформление исполнительной документации.</t>
    </r>
  </si>
  <si>
    <r>
      <t>ПИР, СМР, Прочие затраты, не ограничиваясь перечисленным: монтаж конструкций (трубы/короба/кабель-канала), прокладка и монтаж кабеля</t>
    </r>
    <r>
      <rPr>
        <b/>
        <sz val="10"/>
        <color theme="1" tint="0.14999847407452621"/>
        <rFont val="Consolas"/>
        <family val="3"/>
        <charset val="204"/>
      </rPr>
      <t xml:space="preserve"> </t>
    </r>
    <r>
      <rPr>
        <sz val="10"/>
        <color theme="1" tint="0.14999847407452621"/>
        <rFont val="Consolas"/>
        <family val="3"/>
        <charset val="204"/>
      </rPr>
      <t>от установленного разветвителя КТВ на этаже до абонентской  розетки в ДХ или вновь устанавливаемого разъема F-типа, с учётом стоимости разделки, с устройством отверстий в стенах (с установкой гильз) заделкой, с учётом стоимости трубы/короба/кабель-канала, кабеля,  абонентской розетки/разъемов F-типа, прочих материалов.</t>
    </r>
    <r>
      <rPr>
        <b/>
        <sz val="10"/>
        <color theme="1" tint="0.14999847407452621"/>
        <rFont val="Consolas"/>
        <family val="3"/>
        <charset val="204"/>
      </rPr>
      <t xml:space="preserve"> При выводе линии на абонентскую коробку, коробка предоставляется Заказчиком.</t>
    </r>
    <r>
      <rPr>
        <sz val="10"/>
        <color theme="1" tint="0.14999847407452621"/>
        <rFont val="Consolas"/>
        <family val="3"/>
        <charset val="204"/>
      </rPr>
      <t xml:space="preserve"> Оформление исполнительной документации.</t>
    </r>
  </si>
  <si>
    <r>
      <t>ПИР, СМР, Прочие затраты, не ограничиваясь перечисленным: прокладка и монтаж кабеля</t>
    </r>
    <r>
      <rPr>
        <b/>
        <sz val="10"/>
        <color theme="1" tint="0.14999847407452621"/>
        <rFont val="Consolas"/>
        <family val="3"/>
        <charset val="204"/>
      </rPr>
      <t xml:space="preserve"> </t>
    </r>
    <r>
      <rPr>
        <sz val="10"/>
        <color theme="1" tint="0.14999847407452621"/>
        <rFont val="Consolas"/>
        <family val="3"/>
        <charset val="204"/>
      </rPr>
      <t>от установленного разветвителя КТВ на этаже до абонентской  розетки в ДХ или вновь устанавливаемого разъема F-типа,  с учётом стоимости устройства и заделки борозды, восстановления поверхности, разделки, с устройством отверстий в стенах (с установкой гильз) заделкой, с учётом стоимости гофрированной трубы, кабеля,  абонентской розетки/разъемов F-типа, прочих материалов.</t>
    </r>
    <r>
      <rPr>
        <b/>
        <sz val="10"/>
        <color theme="1" tint="0.14999847407452621"/>
        <rFont val="Consolas"/>
        <family val="3"/>
        <charset val="204"/>
      </rPr>
      <t xml:space="preserve"> При выводе линии на абонентскую коробку, коробка предоставляется Заказчиком.</t>
    </r>
    <r>
      <rPr>
        <sz val="10"/>
        <color theme="1" tint="0.14999847407452621"/>
        <rFont val="Consolas"/>
        <family val="3"/>
        <charset val="204"/>
      </rPr>
      <t xml:space="preserve"> Оформление исполнительной документации.</t>
    </r>
  </si>
  <si>
    <r>
      <t xml:space="preserve">ПИР, СМР: Монтаж понижающего абонентского трансформатора (ТАМУ) с учетом стоимости материалов.
</t>
    </r>
    <r>
      <rPr>
        <b/>
        <sz val="10"/>
        <color rgb="FF0000FF"/>
        <rFont val="Consolas"/>
        <family val="3"/>
        <charset val="204"/>
      </rPr>
      <t>Без учета стоимости трансформатора.</t>
    </r>
  </si>
  <si>
    <r>
      <t xml:space="preserve">Позиция предусматривает  подготовку отчета по выбору точки размещения БС (базовой станции) телеметрии, включает не ограничиваясь: АКТ обследования с указанием точки размещения БС (координаты) место установки тестовой БС/ранее установленной БС, точки (координаты, конкретное указание места) проведение контрольных измерений приема-передачи сигнала тестерами сети ТС-11, ТС-12, Adenius или аналог, схемы, программные файлы.  
</t>
    </r>
    <r>
      <rPr>
        <b/>
        <sz val="10"/>
        <color rgb="FF0000FF"/>
        <rFont val="Consolas"/>
        <family val="3"/>
        <charset val="204"/>
      </rPr>
      <t xml:space="preserve">Количество точек для проведения контрольных измерений приема-передачи, определяется из количества угловых точек подвального помещения (при отсутствии, 1 этажа) по контуру дома, но не менее 8 точек измерения. </t>
    </r>
  </si>
  <si>
    <r>
      <t xml:space="preserve">ПИР, СМР: Установка модуля сопряжения  LORA/NB-IoT, </t>
    </r>
    <r>
      <rPr>
        <b/>
        <sz val="10"/>
        <color rgb="FF375D6B"/>
        <rFont val="Consolas"/>
        <family val="3"/>
        <charset val="204"/>
      </rPr>
      <t xml:space="preserve">пломбировка. </t>
    </r>
  </si>
  <si>
    <t>Монтаж источника питания/ блока питания приборов учёта; PоЕ удлинителя/ сплиттера беспроводных/ проводных устройств</t>
  </si>
  <si>
    <r>
      <t xml:space="preserve">СМР, ПИР,  не ограничиваясь перечисленным; установка и монтаж </t>
    </r>
    <r>
      <rPr>
        <b/>
        <sz val="10"/>
        <color rgb="FF375D6B"/>
        <rFont val="Consolas"/>
        <family val="3"/>
        <charset val="204"/>
      </rPr>
      <t>источника питания/блока питания приборов учёта; PоЕ удлинителя/сплиттера</t>
    </r>
    <r>
      <rPr>
        <sz val="10"/>
        <color theme="1"/>
        <rFont val="Consolas"/>
        <family val="3"/>
        <charset val="204"/>
      </rPr>
      <t xml:space="preserve"> (включая крепежные материалы и изделия), включение электропитания. Оформление разрешительных документов, исполнительной документации. 
</t>
    </r>
    <r>
      <rPr>
        <b/>
        <sz val="10"/>
        <color rgb="FF0000FF"/>
        <rFont val="Consolas"/>
        <family val="3"/>
        <charset val="204"/>
      </rPr>
      <t>Без учета стоимости оборудования, организации линий электропитания.</t>
    </r>
  </si>
  <si>
    <r>
      <t xml:space="preserve">ПИР, СМР, Прочие затраты, включая: </t>
    </r>
    <r>
      <rPr>
        <sz val="10"/>
        <color rgb="FF0000FF"/>
        <rFont val="Consolas"/>
        <family val="3"/>
        <charset val="204"/>
      </rPr>
      <t>работы на станционной стороне</t>
    </r>
    <r>
      <rPr>
        <sz val="10"/>
        <color theme="1"/>
        <rFont val="Consolas"/>
        <family val="3"/>
        <charset val="204"/>
      </rPr>
      <t xml:space="preserve">, стоимость кабеля и материалов, вспомогательное оборудование, оформление разрешительных документов, исполнительной документации.
</t>
    </r>
    <r>
      <rPr>
        <sz val="10"/>
        <color rgb="FF0000FF"/>
        <rFont val="Consolas"/>
        <family val="3"/>
        <charset val="204"/>
      </rPr>
      <t xml:space="preserve">Не включает: стоимость коммутатора агрегации/концентрации,  коммутатор доступа и укомплектованного телекоммуникационного шкафа узла доступа; стоимость проектирования и строительства магистральных участков ВОЛС (производится по расценкам пунктов 4.2÷4.4, устройство кабельного вывода/ввода производится по расценкам 5.24÷5.26. </t>
    </r>
  </si>
  <si>
    <r>
      <t xml:space="preserve">GPON - строительство в Новостройках (ДРС под 100%, ОРШ в каждом доме, ОРК через этаж или на каждом этаже). Стояки не строятся.
</t>
    </r>
    <r>
      <rPr>
        <sz val="10"/>
        <color rgb="FF0000FF"/>
        <rFont val="Consolas"/>
        <family val="3"/>
        <charset val="204"/>
      </rPr>
      <t xml:space="preserve">Проектирование и строительство магистральных участков ВОЛС производится по отдельным расценкам пунктов 4.2÷4.4, устройство кабельного вывода/ввода производится по расценкам 5.24÷5.26. В случае необходимости строительства слаботочных стояков, проектирование и строительство производится по отдельной расценке пункта 6.4. Организация вводов в  ДХ производится по расценкам 6.40÷6.41.
</t>
    </r>
    <r>
      <rPr>
        <sz val="10"/>
        <color theme="1"/>
        <rFont val="Consolas"/>
        <family val="3"/>
        <charset val="204"/>
      </rPr>
      <t xml:space="preserve">ПИР, СМР, Прочие затраты, включая: Проектирование домовой распределительной сети. </t>
    </r>
    <r>
      <rPr>
        <sz val="10"/>
        <color rgb="FF0000FF"/>
        <rFont val="Consolas"/>
        <family val="3"/>
        <charset val="204"/>
      </rPr>
      <t>Работы на станционной стороне</t>
    </r>
    <r>
      <rPr>
        <sz val="10"/>
        <color theme="1"/>
        <rFont val="Consolas"/>
        <family val="3"/>
        <charset val="204"/>
      </rPr>
      <t>; строительство распределительной сети с учётом стоимости материалов и кабельной продукции, включая, но не ограничиваясь, выполнение следующих видов работ: согласование времени проведения работ с Застройщиками; прокладка распределительных ВОК по существующему  или вновь постро</t>
    </r>
    <r>
      <rPr>
        <sz val="10"/>
        <color theme="1" tint="0.14999847407452621"/>
        <rFont val="Consolas"/>
        <family val="3"/>
        <charset val="204"/>
      </rPr>
      <t>енному горизонтальному</t>
    </r>
    <r>
      <rPr>
        <sz val="10"/>
        <color theme="1"/>
        <rFont val="Consolas"/>
        <family val="3"/>
        <charset val="204"/>
      </rPr>
      <t xml:space="preserve"> трубопроводу; установка оптического распределительного шкафа (ОРШ) со сплиттерами 1-го каскада (включая стоимость ОРШ и сплиттера 1-го каскада); установка оптической распределительной коробки ОРК и УСМ (</t>
    </r>
    <r>
      <rPr>
        <b/>
        <sz val="10"/>
        <color rgb="FF0000FF"/>
        <rFont val="Consolas"/>
        <family val="3"/>
        <charset val="204"/>
      </rPr>
      <t>включая стоимость ОРК и сплиттера 2-го каскада (УСМ)</t>
    </r>
    <r>
      <rPr>
        <sz val="10"/>
        <color theme="1"/>
        <rFont val="Consolas"/>
        <family val="3"/>
        <charset val="204"/>
      </rPr>
      <t>); монтаж, разварка ВОК с комплексом измерений; подготовка, сдача ИД и законченного строительством объекта.</t>
    </r>
  </si>
  <si>
    <r>
      <t>GPON - стандартное строительство в домах от 3-х этажей и выше (ДРС под 100%,  ОРШ в каждом доме).</t>
    </r>
    <r>
      <rPr>
        <sz val="10"/>
        <color rgb="FFFF0000"/>
        <rFont val="Consolas"/>
        <family val="3"/>
        <charset val="204"/>
      </rPr>
      <t xml:space="preserve"> </t>
    </r>
    <r>
      <rPr>
        <sz val="10"/>
        <color rgb="FF0000FF"/>
        <rFont val="Consolas"/>
        <family val="3"/>
        <charset val="204"/>
      </rPr>
      <t xml:space="preserve">Проектирование и строительство магистральных участков ВОЛС производится по отдельным расценкам пунктов 4.2÷4.4, устройство кабельного вывода/ввода производится по расценкам 5.24÷5.26.
</t>
    </r>
    <r>
      <rPr>
        <b/>
        <sz val="10"/>
        <color rgb="FF0000FF"/>
        <rFont val="Consolas"/>
        <family val="3"/>
        <charset val="204"/>
      </rPr>
      <t>Строительство слаботочных стояков не производится,</t>
    </r>
    <r>
      <rPr>
        <sz val="10"/>
        <color rgb="FF0000FF"/>
        <rFont val="Consolas"/>
        <family val="3"/>
        <charset val="204"/>
      </rPr>
      <t xml:space="preserve"> при наличии подъездного слаботочного стояка (стояков) от Застройщика, заполненных суммарно менее 50 % и суммарной площадью более 100 см2. При отклонении от указанных параметров, проектирование и строительство слаботочных стояков производится по отдельной расценке пункта 6.4. 
</t>
    </r>
    <r>
      <rPr>
        <sz val="10"/>
        <color theme="1"/>
        <rFont val="Consolas"/>
        <family val="3"/>
        <charset val="204"/>
      </rPr>
      <t>ПИР, СМР, Прочие затраты, включая: Проектирование домовой распределительной сети. Строительство распределительной сети с учётом стоимости материалов и кабельной продукции, включая, но не ограничиваясь, выполнение следующих видов работ:</t>
    </r>
    <r>
      <rPr>
        <sz val="10"/>
        <color rgb="FF0000FF"/>
        <rFont val="Consolas"/>
        <family val="3"/>
        <charset val="204"/>
      </rPr>
      <t xml:space="preserve"> работы на станционной стороне</t>
    </r>
    <r>
      <rPr>
        <sz val="10"/>
        <color theme="1"/>
        <rFont val="Consolas"/>
        <family val="3"/>
        <charset val="204"/>
      </rPr>
      <t xml:space="preserve">; согласование проведения работ с собственниками жилья; прокладка ВОК по существующему или вновь построенному </t>
    </r>
    <r>
      <rPr>
        <sz val="10"/>
        <color theme="1" tint="0.14999847407452621"/>
        <rFont val="Consolas"/>
        <family val="3"/>
        <charset val="204"/>
      </rPr>
      <t>горизонтальному тру</t>
    </r>
    <r>
      <rPr>
        <sz val="10"/>
        <color theme="1"/>
        <rFont val="Consolas"/>
        <family val="3"/>
        <charset val="204"/>
      </rPr>
      <t>бопроводу; установка оптического распределительного шкафа (ОРШ) со сплиттерами 1-го каскада (включая стоимость ОРШ и сплиттера 1-го каскада); установка оптической распределительной коробки ОРК (</t>
    </r>
    <r>
      <rPr>
        <b/>
        <sz val="10"/>
        <color rgb="FF0000FF"/>
        <rFont val="Consolas"/>
        <family val="3"/>
        <charset val="204"/>
      </rPr>
      <t>включая стоимость ОРК,</t>
    </r>
    <r>
      <rPr>
        <sz val="10"/>
        <color rgb="FF0000FF"/>
        <rFont val="Consolas"/>
        <family val="3"/>
        <charset val="204"/>
      </rPr>
      <t xml:space="preserve"> </t>
    </r>
    <r>
      <rPr>
        <b/>
        <sz val="10"/>
        <color rgb="FF0000FF"/>
        <rFont val="Consolas"/>
        <family val="3"/>
        <charset val="204"/>
      </rPr>
      <t>без учета стоимости</t>
    </r>
    <r>
      <rPr>
        <sz val="10"/>
        <color rgb="FF0000FF"/>
        <rFont val="Consolas"/>
        <family val="3"/>
        <charset val="204"/>
      </rPr>
      <t xml:space="preserve"> </t>
    </r>
    <r>
      <rPr>
        <b/>
        <sz val="10"/>
        <color rgb="FF0000FF"/>
        <rFont val="Consolas"/>
        <family val="3"/>
        <charset val="204"/>
      </rPr>
      <t>сплиттера 2-го каскада (УСМ)</t>
    </r>
    <r>
      <rPr>
        <sz val="10"/>
        <color theme="1"/>
        <rFont val="Consolas"/>
        <family val="3"/>
        <charset val="204"/>
      </rPr>
      <t>); монтаж, разварка ВОК с комплексом измерений; подготовка, сдача ИД и законченного строительством объекта.</t>
    </r>
  </si>
  <si>
    <t>ПИР, СМР, включая стоимость материалов, установки колодцев ККС под требуемое количество каналов (с учетом стоимости колодцев, оснастки, труб и комплектующих).</t>
  </si>
  <si>
    <t>Установка активного абонентского оборудования (ONT, Sip, IPTV, xDSL, WiFi. За единицу, включает подключение кабеля в оборудование клиента) тестирование оборудование; активация сервисов; демонстрация услуг клиенту. Включено в стоимость организация оптической и/или медножильной линии по помещению абонента от оптической розетки  до места установки оборудования, включая стоимость кабеля,  кабельканала.</t>
  </si>
  <si>
    <r>
      <rPr>
        <sz val="10"/>
        <rFont val="Consolas"/>
        <family val="3"/>
        <charset val="204"/>
      </rPr>
      <t xml:space="preserve">Строительство в Комплексных новостройках (ДРС FTTb GE-4 пары на 1 ДХ под 100% проникновения, стояки не строятся). Проектирование и строительство магистральных участков ВОЛС производится по отдельным расценкам пунктов 4.2÷4.4, устройство ввода производится по отдельным расценкам 5.24÷5.26. В случае необходимости строительства слаботочных стояков, проектирование и строительство производится по отдельной расценке пункта 6.4. </t>
    </r>
    <r>
      <rPr>
        <b/>
        <sz val="10"/>
        <color rgb="FFFF0000"/>
        <rFont val="Consolas"/>
        <family val="3"/>
        <charset val="204"/>
      </rPr>
      <t xml:space="preserve"> 
</t>
    </r>
    <r>
      <rPr>
        <b/>
        <sz val="10"/>
        <color rgb="FF0000FF"/>
        <rFont val="Consolas"/>
        <family val="3"/>
        <charset val="204"/>
      </rPr>
      <t>Организация вводов в  ДХ производится по расценкам 6.38÷6.39; 6.42÷6.43.</t>
    </r>
  </si>
  <si>
    <r>
      <rPr>
        <sz val="10"/>
        <rFont val="Consolas"/>
        <family val="3"/>
        <charset val="204"/>
      </rPr>
      <t>Строительство в Стандартной застройке и Новостройках (ДРС FTTb FE -2 пары на 1 ДХ от % проникновения).</t>
    </r>
    <r>
      <rPr>
        <b/>
        <sz val="10"/>
        <rFont val="Consolas"/>
        <family val="3"/>
        <charset val="204"/>
      </rPr>
      <t xml:space="preserve"> </t>
    </r>
    <r>
      <rPr>
        <sz val="10"/>
        <color rgb="FF0000FF"/>
        <rFont val="Consolas"/>
        <family val="3"/>
        <charset val="204"/>
      </rPr>
      <t xml:space="preserve">Проектирование и строительство магистральных участков ВОЛС производится по отдельным расценкам пунктов 4.2÷4.4, устройство кабельного вывода/ввода производится по расценкам 5.24÷5.26.
</t>
    </r>
    <r>
      <rPr>
        <b/>
        <sz val="10"/>
        <color rgb="FF0000FF"/>
        <rFont val="Consolas"/>
        <family val="3"/>
        <charset val="204"/>
      </rPr>
      <t>Строительство слаботочных стояков не производится</t>
    </r>
    <r>
      <rPr>
        <sz val="10"/>
        <color rgb="FF0000FF"/>
        <rFont val="Consolas"/>
        <family val="3"/>
        <charset val="204"/>
      </rPr>
      <t>, при наличии подъездного слаботочного стояка (стояков) от Застройщика, заполненных суммарно менее 50 % и суммарной площадью более 100 см2. При отклонении от указанных параметров, проектирование и строительство слаботочных стояков производится по отдельной расценке пункта 6.4.</t>
    </r>
  </si>
  <si>
    <r>
      <t xml:space="preserve">Строительство сетей абонентского доступа по технологии FTTb в Cтандартной застройке и в Новостройках  </t>
    </r>
    <r>
      <rPr>
        <sz val="10"/>
        <color rgb="FF0000FF"/>
        <rFont val="Consolas"/>
        <family val="3"/>
        <charset val="204"/>
      </rPr>
      <t>(дома выше 3-х этажей</t>
    </r>
    <r>
      <rPr>
        <sz val="10"/>
        <color rgb="FF000000"/>
        <rFont val="Consolas"/>
        <family val="3"/>
        <charset val="204"/>
      </rPr>
      <t>):</t>
    </r>
  </si>
  <si>
    <r>
      <t>Проведение измерений электромагнитного излучения от
РЭС Заказчика. Получение Санитарно-эпидемиологического и экспертного заключения тер.управления (ТУ) Роспотребнадзора с разрешением</t>
    </r>
    <r>
      <rPr>
        <b/>
        <sz val="10"/>
        <rFont val="Consolas"/>
        <family val="3"/>
        <charset val="204"/>
      </rPr>
      <t xml:space="preserve"> </t>
    </r>
    <r>
      <rPr>
        <sz val="10"/>
        <rFont val="Consolas"/>
        <family val="3"/>
        <charset val="204"/>
      </rPr>
      <t>эксплуатировать РЭС (</t>
    </r>
    <r>
      <rPr>
        <sz val="10"/>
        <color rgb="FF0000FF"/>
        <rFont val="Consolas"/>
        <family val="3"/>
        <charset val="204"/>
      </rPr>
      <t>форма  Р2</t>
    </r>
    <r>
      <rPr>
        <sz val="10"/>
        <rFont val="Consolas"/>
        <family val="3"/>
        <charset val="204"/>
      </rPr>
      <t>)</t>
    </r>
  </si>
  <si>
    <r>
      <rPr>
        <b/>
        <sz val="12"/>
        <color rgb="FF375D6B"/>
        <rFont val="Calibri"/>
        <family val="2"/>
        <charset val="204"/>
      </rPr>
      <t>►</t>
    </r>
    <r>
      <rPr>
        <b/>
        <sz val="12"/>
        <color rgb="FF375D6B"/>
        <rFont val="Consolas"/>
        <family val="3"/>
        <charset val="204"/>
      </rPr>
      <t xml:space="preserve"> для объектов РРС (в том числе e-band)</t>
    </r>
  </si>
  <si>
    <t>Величина стоимости кабеля/основных материалов с учётом ТЗР носит справочный характер и используется для исключения из Удельной стоимости за единицу в случае принятия решения об использовании давальческих материалов Заказчика.</t>
  </si>
  <si>
    <t xml:space="preserve">В УР на прокладку кабелей с примечанием вида "В случае, если общая протяженность трассы ВОК менее 100 м, стоимость приравнивается к удельной стоимости участка = 100 м. независимо от фактической длины" данное условие применяется, если  только общая длина трассы кабеля на объекте имееет </t>
  </si>
  <si>
    <t>протяженность менее 100 м.Данное условие не применяется для отдельных фрагментов трассы или составных частей трассы из кабелей по разным УР.</t>
  </si>
  <si>
    <t xml:space="preserve">Примечание:угловые,переходные,оконечные опоры при выполнении в варианте опора с укосиной (подпорой) учитываются стоимостью усреднённого состава работ в  УР 5.21 (5.21.1;5.21.2;5.21.3;5.21.4). Такие опоры считаются в стоимости заказа как одна опора.Необходимость их использования определяется </t>
  </si>
  <si>
    <t>составом рабочей документации и положениями действующей редакции Руководства по строительству линейных сооружений связи.</t>
  </si>
  <si>
    <t xml:space="preserve">Стоимость воздушного ввода в здание отдельно не рассчитывается - учтена стоимостью прокладки кабеля (УР "Прокладка и монтаж ....  по существующим опорам (трубостойкам, между зданиями)).Стоимость воздушного ввода в здание отдельно не рассчитывается - учтена стоимостью прокладки кабеля.Для </t>
  </si>
  <si>
    <t xml:space="preserve">воздушных кабельных переходов и воздушных вводов в дома техническое решение, согласно СП 134.13330.2012 и ОСТН-600-93, должно представлять собой строительство кабельного ввода (высверлить отверстие, установить гильзу, кабель завести через гильзу; крепление кабеля установить на внешней стене </t>
  </si>
  <si>
    <t xml:space="preserve">дома) либо использовать существующий, специально запроектированный при строительстве дома ввод (крепление кабеля установить на внешней стене дома). Место для крепления кабеля на внешней стене выбирать на углах здания (с обеих сторон подвеса). Исключить установку крепежных элементов и подвес </t>
  </si>
  <si>
    <t>кабеля (над) под окнами жилых квартир.</t>
  </si>
  <si>
    <t xml:space="preserve">Для FTTB и PON (разделы 1 и 2) при формировании стоимости Заказа  использовать одну величину удельной стоимости строительства в зависимости от средневзвешенного значения % проникновения по Адресной программе Заказа. При возможных изменениях Адресной программы в процессе строительства </t>
  </si>
  <si>
    <t>величина удельной стоимости остается неизменной, установленной при формировании Заказа.</t>
  </si>
  <si>
    <t xml:space="preserve">В состав ПИР всех расценок (в общем случае)входят: разработка проектной и рабочей документации;получение ТУ на прокладку ВОК;получение и оплата всех необходимых согласований, разрешений и проектных решений с собственниками зданий, и сооружений, ;получение всех необходимых разрешений, </t>
  </si>
  <si>
    <t xml:space="preserve">согласований, ТУ, и экспертиз в соответствие с нормами РФ, прав доступа в телефонную канализацию (в том числе на имя Заказчика); проведение инженерных изысканий, предпроектных обследований;авторский надзор; согласование вывода волоконно-оптического кабеля на существующие опоры; проведение </t>
  </si>
  <si>
    <t>топографо-геодезической съемки (топосъемки) с корректировкой;разработка и согласование Проекта производства работ (ППР) со всеми заинтересованными организациями и службами.</t>
  </si>
  <si>
    <r>
      <t xml:space="preserve">Строительство сетей абонентского доступа по технологии GPON в сегменте Стандартной застройки и Новостройках </t>
    </r>
    <r>
      <rPr>
        <sz val="10"/>
        <color rgb="FF0000FF"/>
        <rFont val="Consolas"/>
        <family val="3"/>
        <charset val="204"/>
      </rPr>
      <t>(дома выше 3-х этажей</t>
    </r>
    <r>
      <rPr>
        <sz val="10"/>
        <color rgb="FF000000"/>
        <rFont val="Consolas"/>
        <family val="3"/>
        <charset val="204"/>
      </rPr>
      <t>):</t>
    </r>
  </si>
  <si>
    <r>
      <t xml:space="preserve">Строительство сетей абонентского доступа по технологии GPON в сегменте малоэтажной застройки </t>
    </r>
    <r>
      <rPr>
        <sz val="10"/>
        <color rgb="FF0000FF"/>
        <rFont val="Consolas"/>
        <family val="3"/>
        <charset val="204"/>
      </rPr>
      <t>(дома до 3-х этажей</t>
    </r>
    <r>
      <rPr>
        <sz val="10"/>
        <color rgb="FF000000"/>
        <rFont val="Consolas"/>
        <family val="3"/>
        <charset val="204"/>
      </rPr>
      <t>, включительно):</t>
    </r>
  </si>
  <si>
    <t>Примечание:</t>
  </si>
  <si>
    <t xml:space="preserve">В каждый из указанных выше видов Работ в т.ч. входят: </t>
  </si>
  <si>
    <t>1. затраты на согласования, оплату ТУ;</t>
  </si>
  <si>
    <t>2. затраты на ПИР;</t>
  </si>
  <si>
    <t>3. затраты на оформление согласований, разрешений на производство работ;</t>
  </si>
  <si>
    <r>
      <t xml:space="preserve">
</t>
    </r>
    <r>
      <rPr>
        <b/>
        <sz val="10"/>
        <color rgb="FF000000"/>
        <rFont val="Consolas"/>
        <family val="3"/>
        <charset val="204"/>
      </rPr>
      <t xml:space="preserve">
</t>
    </r>
    <r>
      <rPr>
        <sz val="10"/>
        <color rgb="FF000000"/>
        <rFont val="Consolas"/>
        <family val="3"/>
        <charset val="204"/>
      </rPr>
      <t xml:space="preserve">
</t>
    </r>
  </si>
  <si>
    <t>4. затраты на оформление исполнительной документации (ИД).</t>
  </si>
  <si>
    <t>В каждый из указанных выше видов Работ в т.ч. входят:</t>
  </si>
  <si>
    <t>1. Затраты на получение/оформление согласований, разрешений на производство работ и технических условий у сторонних организаций (физ/юр лиц), необходимых для проведения работ по прокладке кабеля и строительству кабельной инфраструктуры;</t>
  </si>
  <si>
    <t>2. Затраты на проведение проектно-изыскательских работ и подготовку рабочей документации;</t>
  </si>
  <si>
    <t>3. затраты на подготовку и согласование у сторонних организаций комплекта исполнительной документации в соответствии по построенным ЛКС и объектам строительства.</t>
  </si>
  <si>
    <t>ёмкостью 50 пар (жила 0,4)</t>
  </si>
  <si>
    <t>ёмкостью 100 пар (жила 0,4)</t>
  </si>
  <si>
    <t>ёмкостью 200 пар (жила 0,4)</t>
  </si>
  <si>
    <t>ёмкостью 400 пар (жила 0,4)</t>
  </si>
  <si>
    <t>ёмкостью 10 пар (жила 0,5)</t>
  </si>
  <si>
    <t>ёмкостью 20 пар (жила 0,5)</t>
  </si>
  <si>
    <t>ёмкостью 30 пар (жила 0,5)</t>
  </si>
  <si>
    <t>ёмкостью 50 пар (жила 0,5)</t>
  </si>
  <si>
    <t>ёмкостью 100 пар (жила 0,5)</t>
  </si>
  <si>
    <t>ёмкостью 200 пар (жила 0,5)</t>
  </si>
  <si>
    <t>ёмкостью 400 пар (жила 0,5)</t>
  </si>
  <si>
    <t>ёмкостью 500 пар (жила 0,5)</t>
  </si>
  <si>
    <t>ёмкостью 50 пар (жила 0,7)</t>
  </si>
  <si>
    <t>3. затраты на подготовку и согласование у сторонних организаций комплекта исполнительной документации в соответствии по построенным ЛКС и объектам строительства;</t>
  </si>
  <si>
    <t>3. Затраты на подготовку и согласование у сторонних организаций комплекта исполнительной документации в соответствии по построенным ЛКС и объектам строительства;</t>
  </si>
  <si>
    <t>4. Протяженность по работам, указанным в пп. 4.2-4.4; 4.7-4.9  учитывается  по общей протяженности кабельной линии в Заказе;</t>
  </si>
  <si>
    <t>5. Величина стоимости кабеля с учётом ТЗР носит справочный характер и используется для исключения из Удельной стоимости за единицу в случае принятия решения об использовании давальческих материалов Заказчика.</t>
  </si>
  <si>
    <t>4. Протяженность по работам, указанным в пп.5.5-5.7 учитывается  по профилю ГНБ/ГНП перехода.</t>
  </si>
  <si>
    <t>1. Затраты на получение/оформление согласований, разрешений на производство работ и технических условий у сторонних организаций (физ./юр лиц), необходимых для проведения работ по прокладке кабеля и строительству/реконструкции/дооборудованию каб. инфраструктуры: каб. канализации, опор, участков ГНБ/ГНП;</t>
  </si>
  <si>
    <t xml:space="preserve">Настоящие удельные расценки предназначены для формирования бюджета или начальной, максимальной цены (НМЦ) конкурса. </t>
  </si>
  <si>
    <t>Настоящие удельные расценки являются максимальными и могут быть изменены в сторону уменьшения на стадии формирования НМЦ или в результате проведения конкурентных процедур.</t>
  </si>
  <si>
    <r>
      <rPr>
        <b/>
        <vertAlign val="superscript"/>
        <sz val="12"/>
        <color rgb="FF375D6B"/>
        <rFont val="Consolas"/>
        <family val="3"/>
        <charset val="204"/>
      </rPr>
      <t xml:space="preserve">1Р </t>
    </r>
    <r>
      <rPr>
        <b/>
        <sz val="12"/>
        <color rgb="FF375D6B"/>
        <rFont val="Consolas"/>
        <family val="3"/>
        <charset val="204"/>
      </rPr>
      <t>Строительство сетей FTTB малоэтажная застройка (дома до 3-х этажей, включительно)</t>
    </r>
  </si>
  <si>
    <r>
      <rPr>
        <b/>
        <vertAlign val="superscript"/>
        <sz val="12"/>
        <color rgb="FF375D6B"/>
        <rFont val="Consolas"/>
        <family val="3"/>
        <charset val="204"/>
      </rPr>
      <t xml:space="preserve">1Р </t>
    </r>
    <r>
      <rPr>
        <b/>
        <sz val="12"/>
        <color rgb="FF375D6B"/>
        <rFont val="Consolas"/>
        <family val="3"/>
        <charset val="204"/>
      </rPr>
      <t>Строительство сетей FTTB стандартная застройка (дома выше 3-х этажей)</t>
    </r>
  </si>
  <si>
    <r>
      <rPr>
        <b/>
        <vertAlign val="superscript"/>
        <sz val="12"/>
        <color rgb="FF375D6B"/>
        <rFont val="Consolas"/>
        <family val="3"/>
        <charset val="204"/>
      </rPr>
      <t xml:space="preserve">2Р </t>
    </r>
    <r>
      <rPr>
        <b/>
        <sz val="12"/>
        <color rgb="FF375D6B"/>
        <rFont val="Consolas"/>
        <family val="3"/>
        <charset val="204"/>
      </rPr>
      <t>Строительство сетей ШПД  по технологии GPON в городской черте</t>
    </r>
  </si>
  <si>
    <r>
      <t xml:space="preserve">  </t>
    </r>
    <r>
      <rPr>
        <b/>
        <vertAlign val="superscript"/>
        <sz val="12"/>
        <color rgb="FF375D6B"/>
        <rFont val="Consolas"/>
        <family val="3"/>
        <charset val="204"/>
      </rPr>
      <t xml:space="preserve">3Р </t>
    </r>
    <r>
      <rPr>
        <b/>
        <sz val="12"/>
        <color rgb="FF375D6B"/>
        <rFont val="Consolas"/>
        <family val="3"/>
        <charset val="204"/>
      </rPr>
      <t>Строительство распределительных участков ВОЛС  (Расценки используются для строительства распределительных участков ВОЛС по технологии GPON в коттеджных посёлках)</t>
    </r>
  </si>
  <si>
    <t>ВОК ёмкостью более 16 до 24 волокон включительно</t>
  </si>
  <si>
    <t>ВОК ёмкостью более 24 до 32 волокон включительно</t>
  </si>
  <si>
    <t>ВОК ёмкостью более 48 волокон до 96 включительно</t>
  </si>
  <si>
    <t>ёмкостью  50 пар (жила 0,7)</t>
  </si>
  <si>
    <t>ёмкостью  50 пар (жила 0,5)</t>
  </si>
  <si>
    <r>
      <t xml:space="preserve"> </t>
    </r>
    <r>
      <rPr>
        <b/>
        <vertAlign val="superscript"/>
        <sz val="12"/>
        <color rgb="FF375D6B"/>
        <rFont val="Consolas"/>
        <family val="3"/>
        <charset val="204"/>
      </rPr>
      <t xml:space="preserve">5Р </t>
    </r>
    <r>
      <rPr>
        <b/>
        <sz val="12"/>
        <color rgb="FF375D6B"/>
        <rFont val="Consolas"/>
        <family val="3"/>
        <charset val="204"/>
      </rPr>
      <t>Строительство ЛКСС</t>
    </r>
  </si>
  <si>
    <r>
      <t xml:space="preserve"> </t>
    </r>
    <r>
      <rPr>
        <b/>
        <vertAlign val="superscript"/>
        <sz val="12"/>
        <color rgb="FF375D6B"/>
        <rFont val="Consolas"/>
        <family val="3"/>
        <charset val="204"/>
      </rPr>
      <t xml:space="preserve">6Р </t>
    </r>
    <r>
      <rPr>
        <b/>
        <sz val="12"/>
        <color rgb="FF375D6B"/>
        <rFont val="Consolas"/>
        <family val="3"/>
        <charset val="204"/>
      </rPr>
      <t>Домовая распределительная сеть (ДРС)</t>
    </r>
  </si>
  <si>
    <r>
      <rPr>
        <b/>
        <vertAlign val="superscript"/>
        <sz val="12"/>
        <color rgb="FF375D6B"/>
        <rFont val="Consolas"/>
        <family val="3"/>
        <charset val="204"/>
      </rPr>
      <t xml:space="preserve">6Р </t>
    </r>
    <r>
      <rPr>
        <b/>
        <sz val="12"/>
        <color rgb="FF375D6B"/>
        <rFont val="Consolas"/>
        <family val="3"/>
        <charset val="204"/>
      </rPr>
      <t xml:space="preserve">Монтаж оборудования </t>
    </r>
  </si>
  <si>
    <r>
      <rPr>
        <b/>
        <vertAlign val="superscript"/>
        <sz val="12"/>
        <color rgb="FF375D6B"/>
        <rFont val="Consolas"/>
        <family val="3"/>
        <charset val="204"/>
      </rPr>
      <t xml:space="preserve">6Р </t>
    </r>
    <r>
      <rPr>
        <b/>
        <sz val="12"/>
        <color rgb="FF375D6B"/>
        <rFont val="Consolas"/>
        <family val="3"/>
        <charset val="204"/>
      </rPr>
      <t>Устройство линий связи</t>
    </r>
  </si>
  <si>
    <r>
      <rPr>
        <b/>
        <vertAlign val="superscript"/>
        <sz val="12"/>
        <color rgb="FF375D6B"/>
        <rFont val="Consolas"/>
        <family val="3"/>
        <charset val="204"/>
      </rPr>
      <t xml:space="preserve">6Р </t>
    </r>
    <r>
      <rPr>
        <b/>
        <sz val="12"/>
        <color rgb="FF375D6B"/>
        <rFont val="Consolas"/>
        <family val="3"/>
        <charset val="204"/>
      </rPr>
      <t>Комплексные услуги (домофония/радиофикация/видеонаблюдение/беспроводной доступ/телеметрия)</t>
    </r>
  </si>
  <si>
    <r>
      <rPr>
        <b/>
        <vertAlign val="superscript"/>
        <sz val="12"/>
        <color rgb="FF375D6B"/>
        <rFont val="Consolas"/>
        <family val="3"/>
        <charset val="204"/>
      </rPr>
      <t xml:space="preserve">6Р </t>
    </r>
    <r>
      <rPr>
        <b/>
        <sz val="12"/>
        <color rgb="FF375D6B"/>
        <rFont val="Consolas"/>
        <family val="3"/>
        <charset val="204"/>
      </rPr>
      <t>Устройство линий электропитания</t>
    </r>
  </si>
  <si>
    <r>
      <rPr>
        <b/>
        <vertAlign val="superscript"/>
        <sz val="12"/>
        <color rgb="FF375D6B"/>
        <rFont val="Consolas"/>
        <family val="3"/>
        <charset val="204"/>
      </rPr>
      <t xml:space="preserve">7Р </t>
    </r>
    <r>
      <rPr>
        <b/>
        <sz val="12"/>
        <color rgb="FF375D6B"/>
        <rFont val="Consolas"/>
        <family val="3"/>
        <charset val="204"/>
      </rPr>
      <t>Проектно-изыскательские работы, получение разрешений, согласований, проведение экспертиз</t>
    </r>
  </si>
  <si>
    <r>
      <rPr>
        <b/>
        <vertAlign val="superscript"/>
        <sz val="12"/>
        <color rgb="FF375D6B"/>
        <rFont val="Consolas"/>
        <family val="3"/>
        <charset val="204"/>
      </rPr>
      <t xml:space="preserve">7Р </t>
    </r>
    <r>
      <rPr>
        <b/>
        <sz val="12"/>
        <color rgb="FF375D6B"/>
        <rFont val="Consolas"/>
        <family val="3"/>
        <charset val="204"/>
      </rPr>
      <t>Строительно-монтажные и пуско-наладочные работы</t>
    </r>
  </si>
  <si>
    <r>
      <rPr>
        <b/>
        <vertAlign val="superscript"/>
        <sz val="12"/>
        <color rgb="FF375D6B"/>
        <rFont val="Consolas"/>
        <family val="3"/>
        <charset val="204"/>
      </rPr>
      <t xml:space="preserve">7Р </t>
    </r>
    <r>
      <rPr>
        <b/>
        <sz val="12"/>
        <color rgb="FF375D6B"/>
        <rFont val="Consolas"/>
        <family val="3"/>
        <charset val="204"/>
      </rPr>
      <t>Прочие работы</t>
    </r>
  </si>
  <si>
    <r>
      <rPr>
        <b/>
        <vertAlign val="superscript"/>
        <sz val="12"/>
        <color rgb="FF375D6B"/>
        <rFont val="Consolas"/>
        <family val="3"/>
        <charset val="204"/>
      </rPr>
      <t xml:space="preserve">8Р </t>
    </r>
    <r>
      <rPr>
        <b/>
        <sz val="12"/>
        <color rgb="FF375D6B"/>
        <rFont val="Consolas"/>
        <family val="3"/>
        <charset val="204"/>
      </rPr>
      <t>Проектно-изыскательские работы (ПИР)</t>
    </r>
  </si>
  <si>
    <r>
      <t xml:space="preserve"> </t>
    </r>
    <r>
      <rPr>
        <b/>
        <vertAlign val="superscript"/>
        <sz val="12"/>
        <color rgb="FF375D6B"/>
        <rFont val="Consolas"/>
        <family val="3"/>
        <charset val="204"/>
      </rPr>
      <t xml:space="preserve">8Р </t>
    </r>
    <r>
      <rPr>
        <b/>
        <sz val="12"/>
        <color rgb="FF375D6B"/>
        <rFont val="Consolas"/>
        <family val="3"/>
        <charset val="204"/>
      </rPr>
      <t>Монтаж кабельных трасс</t>
    </r>
  </si>
  <si>
    <r>
      <rPr>
        <b/>
        <vertAlign val="superscript"/>
        <sz val="12"/>
        <color rgb="FF375D6B"/>
        <rFont val="Consolas"/>
        <family val="3"/>
        <charset val="204"/>
      </rPr>
      <t xml:space="preserve">8Р </t>
    </r>
    <r>
      <rPr>
        <b/>
        <sz val="12"/>
        <color rgb="FF375D6B"/>
        <rFont val="Consolas"/>
        <family val="3"/>
        <charset val="204"/>
      </rPr>
      <t xml:space="preserve">Прокладка кабеля </t>
    </r>
  </si>
  <si>
    <r>
      <rPr>
        <b/>
        <vertAlign val="superscript"/>
        <sz val="12"/>
        <color rgb="FF375D6B"/>
        <rFont val="Consolas"/>
        <family val="3"/>
        <charset val="204"/>
      </rPr>
      <t xml:space="preserve">8Р </t>
    </r>
    <r>
      <rPr>
        <b/>
        <sz val="12"/>
        <color rgb="FF375D6B"/>
        <rFont val="Consolas"/>
        <family val="3"/>
        <charset val="204"/>
      </rPr>
      <t>Монтаж информационных розеток</t>
    </r>
  </si>
  <si>
    <r>
      <rPr>
        <b/>
        <vertAlign val="superscript"/>
        <sz val="12"/>
        <color rgb="FF375D6B"/>
        <rFont val="Consolas"/>
        <family val="3"/>
        <charset val="204"/>
      </rPr>
      <t xml:space="preserve">8Р </t>
    </r>
    <r>
      <rPr>
        <b/>
        <sz val="12"/>
        <color rgb="FF375D6B"/>
        <rFont val="Consolas"/>
        <family val="3"/>
        <charset val="204"/>
      </rPr>
      <t>Монтаж оборудования, патч/кросс панелей</t>
    </r>
  </si>
  <si>
    <r>
      <rPr>
        <b/>
        <vertAlign val="superscript"/>
        <sz val="12"/>
        <color rgb="FF375D6B"/>
        <rFont val="Consolas"/>
        <family val="3"/>
        <charset val="204"/>
      </rPr>
      <t xml:space="preserve">8Р </t>
    </r>
    <r>
      <rPr>
        <b/>
        <sz val="12"/>
        <color rgb="FF375D6B"/>
        <rFont val="Consolas"/>
        <family val="3"/>
        <charset val="204"/>
      </rPr>
      <t>Сертификация и тестирование</t>
    </r>
  </si>
  <si>
    <r>
      <rPr>
        <b/>
        <vertAlign val="superscript"/>
        <sz val="12"/>
        <color rgb="FF375D6B"/>
        <rFont val="Consolas"/>
        <family val="3"/>
        <charset val="204"/>
      </rPr>
      <t xml:space="preserve">8Р </t>
    </r>
    <r>
      <rPr>
        <b/>
        <sz val="12"/>
        <color rgb="FF375D6B"/>
        <rFont val="Consolas"/>
        <family val="3"/>
        <charset val="204"/>
      </rPr>
      <t>Прочие работы</t>
    </r>
  </si>
  <si>
    <r>
      <rPr>
        <b/>
        <vertAlign val="superscript"/>
        <sz val="12"/>
        <color rgb="FF375D6B"/>
        <rFont val="Consolas"/>
        <family val="3"/>
        <charset val="204"/>
      </rPr>
      <t xml:space="preserve">8Р </t>
    </r>
    <r>
      <rPr>
        <b/>
        <sz val="12"/>
        <color rgb="FF375D6B"/>
        <rFont val="Consolas"/>
        <family val="3"/>
        <charset val="204"/>
      </rPr>
      <t>Организация АРМ</t>
    </r>
  </si>
  <si>
    <r>
      <rPr>
        <b/>
        <vertAlign val="superscript"/>
        <sz val="12"/>
        <color rgb="FF375D6B"/>
        <rFont val="Consolas"/>
        <family val="3"/>
        <charset val="204"/>
      </rPr>
      <t xml:space="preserve">8Р </t>
    </r>
    <r>
      <rPr>
        <b/>
        <sz val="12"/>
        <color rgb="FF375D6B"/>
        <rFont val="Consolas"/>
        <family val="3"/>
        <charset val="204"/>
      </rPr>
      <t>Монтаж силового оборудования</t>
    </r>
  </si>
  <si>
    <r>
      <rPr>
        <b/>
        <sz val="12"/>
        <color rgb="FF375D6B"/>
        <rFont val="Calibri"/>
        <family val="2"/>
        <charset val="204"/>
      </rPr>
      <t>►</t>
    </r>
    <r>
      <rPr>
        <b/>
        <sz val="12"/>
        <color rgb="FF375D6B"/>
        <rFont val="Consolas"/>
        <family val="3"/>
        <charset val="204"/>
      </rPr>
      <t xml:space="preserve"> для объектов БШПД </t>
    </r>
  </si>
  <si>
    <r>
      <rPr>
        <b/>
        <sz val="12"/>
        <color rgb="FF375D6B"/>
        <rFont val="Calibri"/>
        <family val="2"/>
        <charset val="204"/>
      </rPr>
      <t>►</t>
    </r>
    <r>
      <rPr>
        <b/>
        <sz val="12"/>
        <color rgb="FF375D6B"/>
        <rFont val="Consolas"/>
        <family val="3"/>
        <charset val="204"/>
      </rPr>
      <t xml:space="preserve"> для работ по созданию инфраструктуры</t>
    </r>
  </si>
  <si>
    <r>
      <rPr>
        <b/>
        <sz val="12"/>
        <color rgb="FF375D6B"/>
        <rFont val="Calibri"/>
        <family val="2"/>
        <charset val="204"/>
      </rPr>
      <t>►</t>
    </r>
    <r>
      <rPr>
        <b/>
        <sz val="12"/>
        <color rgb="FF375D6B"/>
        <rFont val="Consolas"/>
        <family val="3"/>
        <charset val="204"/>
      </rPr>
      <t xml:space="preserve"> для объектов УЦН и спутниковой связи</t>
    </r>
  </si>
  <si>
    <t>Не применяется к разделу 1.</t>
  </si>
  <si>
    <r>
      <t xml:space="preserve"> Прокладка и монтаж ВОК </t>
    </r>
    <r>
      <rPr>
        <u/>
        <sz val="10"/>
        <color rgb="FF0000FF"/>
        <rFont val="Consolas"/>
        <family val="3"/>
        <charset val="204"/>
      </rPr>
      <t>в кабельной канализации</t>
    </r>
    <r>
      <rPr>
        <sz val="10"/>
        <rFont val="Consolas"/>
        <family val="3"/>
        <charset val="204"/>
      </rPr>
      <t>, включая установку консолей в колодцах  (при необходимости), внутриобъектовые работы, монтаж кабельростов, стоек, оптических кроссов</t>
    </r>
  </si>
  <si>
    <r>
      <t xml:space="preserve"> Прокладка и монтаж ВОК</t>
    </r>
    <r>
      <rPr>
        <u/>
        <sz val="10"/>
        <color rgb="FF0000FF"/>
        <rFont val="Consolas"/>
        <family val="3"/>
        <charset val="204"/>
      </rPr>
      <t xml:space="preserve"> в грунте</t>
    </r>
    <r>
      <rPr>
        <sz val="10"/>
        <rFont val="Consolas"/>
        <family val="3"/>
        <charset val="204"/>
      </rPr>
      <t>, включая землеустроительное дело, топографо-геодезические работы, согласования</t>
    </r>
  </si>
  <si>
    <r>
      <t xml:space="preserve"> Прокладка и монтаж ВОК</t>
    </r>
    <r>
      <rPr>
        <u/>
        <sz val="10"/>
        <color rgb="FF0000FF"/>
        <rFont val="Consolas"/>
        <family val="3"/>
        <charset val="204"/>
      </rPr>
      <t xml:space="preserve"> по существующим опорам</t>
    </r>
    <r>
      <rPr>
        <sz val="10"/>
        <rFont val="Consolas"/>
        <family val="3"/>
        <charset val="204"/>
      </rPr>
      <t xml:space="preserve"> (трубостойкам, между зданиями)</t>
    </r>
  </si>
  <si>
    <r>
      <t xml:space="preserve">Организация оптической абонентской линии </t>
    </r>
    <r>
      <rPr>
        <u/>
        <sz val="10"/>
        <color rgb="FF0000FF"/>
        <rFont val="Consolas"/>
        <family val="3"/>
        <charset val="204"/>
      </rPr>
      <t>в кабельной канализации</t>
    </r>
  </si>
  <si>
    <r>
      <t xml:space="preserve">Организация оптической абонентской линии </t>
    </r>
    <r>
      <rPr>
        <u/>
        <sz val="10"/>
        <color rgb="FF0000FF"/>
        <rFont val="Consolas"/>
        <family val="3"/>
        <charset val="204"/>
      </rPr>
      <t>в грунте</t>
    </r>
  </si>
  <si>
    <r>
      <t xml:space="preserve">Организация оптической абонентской линии </t>
    </r>
    <r>
      <rPr>
        <u/>
        <sz val="10"/>
        <color rgb="FF0000FF"/>
        <rFont val="Consolas"/>
        <family val="3"/>
        <charset val="204"/>
      </rPr>
      <t>по воздушным линиям связи (ВЛС)</t>
    </r>
  </si>
  <si>
    <r>
      <t xml:space="preserve">Прокладка и монтаж медного кабеля всех типов </t>
    </r>
    <r>
      <rPr>
        <u/>
        <sz val="10"/>
        <color rgb="FF0000FF"/>
        <rFont val="Consolas"/>
        <family val="3"/>
        <charset val="204"/>
      </rPr>
      <t>в канализации, включая внутриобъектовые работы</t>
    </r>
  </si>
  <si>
    <r>
      <t xml:space="preserve">Прокладка и монтаж медного кабеля всех типов </t>
    </r>
    <r>
      <rPr>
        <u/>
        <sz val="10"/>
        <color rgb="FF0000FF"/>
        <rFont val="Consolas"/>
        <family val="3"/>
        <charset val="204"/>
      </rPr>
      <t xml:space="preserve">в грунт, включая внутриобъектовые работы </t>
    </r>
  </si>
  <si>
    <r>
      <t xml:space="preserve">Прокладка и монтаж медного кабеля  всех типов </t>
    </r>
    <r>
      <rPr>
        <u/>
        <sz val="10"/>
        <color rgb="FF0000FF"/>
        <rFont val="Consolas"/>
        <family val="3"/>
        <charset val="204"/>
      </rPr>
      <t>по опорам,  включая внутриобъектовые работы</t>
    </r>
  </si>
  <si>
    <t>Выполнение предпроектных обследований</t>
  </si>
  <si>
    <r>
      <t xml:space="preserve">Прокладка и монтаж ВОК </t>
    </r>
    <r>
      <rPr>
        <u/>
        <sz val="10"/>
        <color rgb="FF0000FF"/>
        <rFont val="Consolas"/>
        <family val="3"/>
        <charset val="204"/>
      </rPr>
      <t xml:space="preserve">в кабельной канализации, включая внутриобъектовые работы </t>
    </r>
  </si>
  <si>
    <r>
      <t xml:space="preserve">Прокладка и монтаж ВОК </t>
    </r>
    <r>
      <rPr>
        <u/>
        <sz val="10"/>
        <color rgb="FF0000FF"/>
        <rFont val="Consolas"/>
        <family val="3"/>
        <charset val="204"/>
      </rPr>
      <t xml:space="preserve">в грунте, включая внутриобъектовые работы </t>
    </r>
  </si>
  <si>
    <r>
      <t xml:space="preserve">Прокладка и монтаж ВОК  </t>
    </r>
    <r>
      <rPr>
        <u/>
        <sz val="10"/>
        <color rgb="FF0000FF"/>
        <rFont val="Consolas"/>
        <family val="3"/>
        <charset val="204"/>
      </rPr>
      <t>по существующим опорам (трубостойкам, между зданиями), включая внутриобъектовые работы</t>
    </r>
  </si>
  <si>
    <t>Установка/замена опор разных видов,  (одинарная опора, опора с одной подпорой, опора с двумя подпорами, опора с приставкой, подпоры, укосины и т.п.) (полный комплекс работ)</t>
  </si>
  <si>
    <r>
      <t xml:space="preserve">Прокладка и монтаж многопарного передаточного кабеля "витая пара"Cat 5е ёмкостью </t>
    </r>
    <r>
      <rPr>
        <sz val="10"/>
        <color rgb="FF0000FF"/>
        <rFont val="Consolas"/>
        <family val="3"/>
        <charset val="204"/>
      </rPr>
      <t>до 10 пар включительно</t>
    </r>
    <r>
      <rPr>
        <sz val="10"/>
        <rFont val="Consolas"/>
        <family val="3"/>
        <charset val="204"/>
      </rPr>
      <t>, от существующего УД до подъезда</t>
    </r>
    <r>
      <rPr>
        <sz val="10"/>
        <color rgb="FF0000FF"/>
        <rFont val="Consolas"/>
        <family val="3"/>
        <charset val="204"/>
      </rPr>
      <t xml:space="preserve"> </t>
    </r>
  </si>
  <si>
    <t>Комментарии, состав работ пояснения, условия и правила применения</t>
  </si>
  <si>
    <t>Для УР № 1.1.,1.1.1,1.1.2,1.1.3
- объём строительства определяется Заказчиком виде указания количества "портов" в Заказе
- Применяется для объектов существующего (стандартного) жилья и Новостроек.ДРС строится под заложенный процент проникновения из расчета 2 пары на каждый порт,указанный в заказе.Например если в заказе 48 портов, то построенная ДРС должна иметь ёмкость не менее 96х2.
- По таким расценкам строится только FE FTTB, т.е. 100 Мбит/с
- Стоимость магистральных ВОЛС в стоимость порта не входит. Такие ВОЛС считаются отдельно по расценкам раздела 4.Магистральными ВОЛС называются ВОЛС между УА и ТШ УД, включая ВОЛС между ТШ УД разных зданий.
- Стоимость перекидных ВОЛС входит в стоимость порта. Перекидными ВОЛС называются ВОЛС между установленными ТШ УД в пределах одного здания (перемычки)
- стоимость всех видов согласований входит в расценку за порт
- бирки на кабель и наклейки на оконечные устройства
- исполнительная документация согласно требованиям МР (см. приложение к Договору)</t>
  </si>
  <si>
    <t>Для УР № 1.3,1.3.1,1.3.2
-объём строительства определяется Заказчиком виде указания количества "портов" в Заказе
-Применяется только для малоэтажных объектов существующего (стандартного) жилья и Новостроек.ДРС строится под заложенный процент проникновения из расчета 2 пары на каждый порт,указанный в заказе.Например если в заказе 14 портов, то построенная ДРС должна иметь ёмкость не менее 28х2.
-По таким расценкам строится только FE FTTB, т.е. 100 Мбит/с
- Стоимость магистральных ВОЛС в стоимость порта не входит. Такие ВОЛС считаются отдельно по расценкам раздела 4.Магистральными ВОЛС называются ВОЛС между УА и ТШ УД, включая ВОЛС между ТШ УД разных зданий.
- Стоимость перекидных ВОЛС входит в стоимость порта. Перекидными ВОЛС называются ВОЛС между установленными ТШ УД в пределах одного здания (перемычки)
- стоимость всех видов согласований входит в расценку за порт
- бирки на кабель и наклейки на оконечные устройства
- исполнительная документация согласно требованиям МР (см. приложение к Договору)</t>
  </si>
  <si>
    <r>
      <rPr>
        <sz val="10"/>
        <color theme="1" tint="0.14999847407452621"/>
        <rFont val="Consolas"/>
        <family val="3"/>
        <charset val="204"/>
      </rPr>
      <t xml:space="preserve">Для УР № 1.2 и 1.2.1
- Допускается применение расценки </t>
    </r>
    <r>
      <rPr>
        <sz val="10"/>
        <color rgb="FF0000FF"/>
        <rFont val="Consolas"/>
        <family val="3"/>
        <charset val="204"/>
      </rPr>
      <t>для объектов Новостройки</t>
    </r>
    <r>
      <rPr>
        <sz val="10"/>
        <color theme="1" tint="0.14999847407452621"/>
        <rFont val="Consolas"/>
        <family val="3"/>
        <charset val="204"/>
      </rPr>
      <t>, с потребностью от Коммерческого блока в  ДРС FTTb GE-4 пары на 1 ДХ под 100% проникновение
-объём строительства определяется Заказчиком виде указания количества "портов" в Заказе
- Строится только FTTB GE, т.е. 1 Гб/с
- Строится ДРС 100%
- Стоимость магистральных ВОЛС в стоимость порта не входит. Такие ВОЛС считаются отдельно по расценкам раздела 4.Магистральными ВОЛС называются ВОЛС между УА и ТШ УД, включая ВОЛС между ТШ УД разных зданий.
- Стоимость перекидных ВОЛС входит в стоимость порта. Перекидными ВОЛС называются ВОЛС между установленными ТШ УД в пределах одного здания (перемычки)
- стоимость всех видов согласований входит в расценку за порт
- бирки на кабель и наклейки на оконечные устройства
- исполнительная документация согласно требованиям МР (см. приложение к Договору)</t>
    </r>
  </si>
  <si>
    <t>Стоимость магистральных ВОЛС в стоимость порта раздела 2 не входит. Такие ВОЛС считаются отдельно по расценкам раздела 4.Магистральными ВОЛС называются ВОЛС между УА или точкой врезки сущ. ВОЛС и ОРШ, включая ВОЛС между ОРШ одного или нескольких зданий.Стоимость распределительного ВОК (от ОРШ до ОРК внутри подъездов) учтена стоимостью "порта 1-го каскада"</t>
  </si>
  <si>
    <r>
      <rPr>
        <sz val="10"/>
        <color rgb="FF0000FF"/>
        <rFont val="Consolas"/>
        <family val="3"/>
        <charset val="204"/>
      </rPr>
      <t>Для УР № 2.1</t>
    </r>
    <r>
      <rPr>
        <sz val="10"/>
        <color theme="1" tint="0.14999847407452621"/>
        <rFont val="Consolas"/>
        <family val="3"/>
        <charset val="204"/>
      </rPr>
      <t xml:space="preserve">
- объём строительства определяется Заказчиком виде указания количества "портов" в Заказе
- Коэффициент сплиттерования указывается Заказчиком,обычно это 1:64
- Применяется для объектов МКД существующего (стандартного) жилья и Новостроек.ДРС строится под 100 % охвата всех дх.
- стоимость всех видов согласований входит в расценку за порт
- стоимость строительства считается только через расценки порта 1-го каскада, при этом ДРС и ОРК с учётом 2-каскада учтены этой расценкой
- сплиттера 2-го каскада только в виде УСМ (см. ТЗ)
- бирки на кабель и наклейки на оконечные устройства
- исполнительная документация согласно требованиям МР (см. приложение к Договору)
</t>
    </r>
    <r>
      <rPr>
        <sz val="10"/>
        <color rgb="FF0000FF"/>
        <rFont val="Consolas"/>
        <family val="3"/>
        <charset val="204"/>
      </rPr>
      <t>Для УР № 2.2</t>
    </r>
    <r>
      <rPr>
        <sz val="10"/>
        <color theme="1" tint="0.14999847407452621"/>
        <rFont val="Consolas"/>
        <family val="3"/>
        <charset val="204"/>
      </rPr>
      <t xml:space="preserve">
- Коэффициент сплиттерования указывается Заказчиком,обычно это 1:64
- Применяется только для малоэтажных объектов существующего (стандартного) жилья и Новостроек.ДРС в виде распределительного ВОК в подъезд с установкой одной ОРК по ТЗ.
- стоимость всех видов согласований входит в расценку за порт
- стоимость строительства считается только через расценки порта 1-го каскада, при этом ДРС и ОРК с учётом 2-каскада учтены этой расценкой
- сплиттера 2-го каскада только в виде УСМ (см. ТЗ)
- бирки на кабель и наклейки на оконечные устройства
- исполнительная документация согласно требованиям МР (см. приложение к Договору)
</t>
    </r>
    <r>
      <rPr>
        <sz val="10"/>
        <color rgb="FF0000FF"/>
        <rFont val="Consolas"/>
        <family val="3"/>
        <charset val="204"/>
      </rPr>
      <t xml:space="preserve">
Для УР № 2.3
</t>
    </r>
    <r>
      <rPr>
        <sz val="10"/>
        <color theme="1" tint="0.14999847407452621"/>
        <rFont val="Consolas"/>
        <family val="3"/>
        <charset val="204"/>
      </rPr>
      <t xml:space="preserve">
- Коэффициент сплиттерования указывается Заказчиком,обычно это 1:64
- применяется для объектов МКД комплексных Новостроек.ДРС строится под 100 % охвата всех дх.
- может применяться для объектов существующего (стандартного) жилья и Новостроек при необходимости строительства ДРС с УСМ.ДРС строится под 100 % охвата всех дх.
- стоимость всех видов согласований входит в расценку за порт
- стоимость строительства считается только через расценки порта 1-го каскада, при этом ДРС и ОРК с учётом 2-каскада учтены этой расценкой
- сплиттера 2-го каскада только в виде УСМ (см. ТЗ)
- бирки на кабель и наклейки на оконечные устройства
- исполнительная документация согласно требованиям МР (см. приложение к Договору)</t>
    </r>
  </si>
  <si>
    <r>
      <t>Для УР № 3.1,3.1.1,3.1.2,3.1.3,3.1.4,3.1.5</t>
    </r>
    <r>
      <rPr>
        <sz val="10"/>
        <color theme="1" tint="0.14999847407452621"/>
        <rFont val="Consolas"/>
        <family val="3"/>
        <charset val="204"/>
      </rPr>
      <t xml:space="preserve">
- внутриобъектовые работы включают стоимость всех применяемых материалов
- применяется только ля расчетов рапределительного кабеля. Распределительным считется ВОК между ОРШ и ДМ (ОРК)
- включает восстановление отделки поверхностей при внутриобъектовых работах
- монтаж ВОК подразумевает оконечивание кабеля с двух сторон
- бирки на кабель и наклейки на оконечные устройства
- Протяженность трассы  - длина прокладываемого кабеля до оптического кросса/дроп-муфты/сплиттера/ОРК, ОРШ.
- длина кабеля берется физическая (оптическая длина разделить на  коэф.укорочения из паспорта партии ВОК)
- исполнительная документация согласно требованиям МР (см. приложение к Договору)</t>
    </r>
  </si>
  <si>
    <r>
      <t>Для УР № 3.3,3.3.1,3.3.2,3.3.3,3.3.4,3.3.5</t>
    </r>
    <r>
      <rPr>
        <sz val="10"/>
        <color theme="1" tint="0.14999847407452621"/>
        <rFont val="Consolas"/>
        <family val="3"/>
        <charset val="204"/>
      </rPr>
      <t xml:space="preserve">
- внутриобъектовые работы включают стоимость всех применяемых материалов
- применяется только для расчетов рапределительного кабеля. Распределительным считется ВОК между ОРШ и ДМ (ОРК)
- включает оснастку опор для подвеса ВОК
- выравнивание, установка оттяжек, перевязка опор и пр.; подрезка крон деревьев
- включает восстановление отделки поверхностей при внутриобъектовых работах
- включает заказ и оплату топосъемок и согласований (при строительстве) в т.ч. и схемы выбора направлений трассы,заказ и оплату топосъемки исполнительной,оформление охранных зон линий связи,постановка на кадастровый учёт; сдача в надзорные органы
- включает согласования с собственниками кадастровых участков и территорий
- включает получение ТУ и справки о выполнении ТУ от собственников инфраструктуры     
- монтаж ВОК подразумевает оконечивание кабеля с двух сторон
- включает бирки на кабель и наклейки на оконечные устройства
- протяженность трассы  - длина прокладываемого кабеля до оптического кросса/дроп-муфты/сплиттера/ОРК, ОРШ.
- длина кабеля берется физическая (оптическая длина разделить на коэф.укорочения из паспорта партии ВОК)
- исполнительная документация согласно требованиям МР (см. приложение к Договору)</t>
    </r>
  </si>
  <si>
    <t>Область применения: для прединсталляций в период строительства сетей FTTН  (GPON) в коттеджных посёлках</t>
  </si>
  <si>
    <r>
      <rPr>
        <sz val="10"/>
        <color rgb="FF0000FF"/>
        <rFont val="Consolas"/>
        <family val="3"/>
        <charset val="204"/>
      </rPr>
      <t>Для УР 3.4.х</t>
    </r>
    <r>
      <rPr>
        <sz val="10"/>
        <rFont val="Consolas"/>
        <family val="3"/>
        <charset val="204"/>
      </rPr>
      <t xml:space="preserve">
- данные работы выполняются по отдельному Заказу со стороны Заказчика для любых клиентов Заказчика (независимо от категории) подключаемых к строящейся сети
- выполнение работ подразумевает прокладку абонентской линии от оконечного устройсва сети PON до дх абонента,с установкой оптической розетки (ОРА)
- АЛ оконечивается/подключается/вваривается с обеих сторон
- включает бирки на кабель и наклейки на оконечные устройства
- длина кабеля берется физическая (оптическая длина разделить на коэф.укорочения из паспорта партии ВОК)
- исполнительная документация согласно требованиям МР (см. приложение к Договору) и требований к закрытию работ по инсталляции
</t>
    </r>
    <r>
      <rPr>
        <sz val="10"/>
        <color rgb="FF0000FF"/>
        <rFont val="Consolas"/>
        <family val="3"/>
        <charset val="204"/>
      </rPr>
      <t>- не включает прокладку АЛ по дх, установку абонентского оборудования, настройки и демонстрацию услуг,подписание акта с абонентом</t>
    </r>
  </si>
  <si>
    <r>
      <rPr>
        <sz val="10"/>
        <color rgb="FF0000FF"/>
        <rFont val="Consolas"/>
        <family val="3"/>
        <charset val="204"/>
      </rPr>
      <t>Для УР 3.5.х</t>
    </r>
    <r>
      <rPr>
        <sz val="10"/>
        <rFont val="Consolas"/>
        <family val="3"/>
        <charset val="204"/>
      </rPr>
      <t xml:space="preserve">
- данные работы выполняются по отдельному Заказу со стороны Заказчика для любых клиентов Заказчика (независимо от категории) подключаемых к строящейся сети
- выполнение работ подразумевает прокладку абонентской линии от оконечного устройсва сети PON до дх абонента,с установкой оптической розетки (ОРА)
- АЛ оконечивается/подключается/вваривается с обеих сторон
- включает бирки на кабель и наклейки на оконечные устройства
- длина кабеля берется физическая (оптическая длина разделить на коэф.укорочения из паспорта партии ВОК)
- исполнительная документация согласно требованиям МР (см. приложение к Договору) и требований к закрытию работ по инсталляции
</t>
    </r>
    <r>
      <rPr>
        <sz val="10"/>
        <color rgb="FF0000FF"/>
        <rFont val="Consolas"/>
        <family val="3"/>
        <charset val="204"/>
      </rPr>
      <t>- не включает прокладку АЛ по дх, установку абонентского оборудования, настройки и демонстрацию услуг,подписание акта с абонентом</t>
    </r>
  </si>
  <si>
    <r>
      <rPr>
        <sz val="10"/>
        <color rgb="FF0000FF"/>
        <rFont val="Consolas"/>
        <family val="3"/>
        <charset val="204"/>
      </rPr>
      <t>Для УР 3.6.х</t>
    </r>
    <r>
      <rPr>
        <sz val="10"/>
        <rFont val="Consolas"/>
        <family val="3"/>
        <charset val="204"/>
      </rPr>
      <t xml:space="preserve">
- данные работы выполняются по отдельному Заказу со стороны Заказчика для любых клиентов Заказчика (независимо от категории) подключаемых к строящейся сети
- выполнение работ подразумевает прокладку абонентской линии от оконечного устройсва сети PON до дх абонента,с установкой оптической розетки (ОРА)
- АЛ оконечивается/подключается/вваривается с обеих сторон
- включает оснастку опор для подвеса ВОК
- включает бирки на кабель и наклейки на оконечные устройства
- длина кабеля берется физическая (оптическая длина разделить на коэф.укорочения из паспорта партии ВОК)
- исполнительная документация согласно требованиям МР (см. приложение к Договору) и требований к закрытию работ по инсталляции
</t>
    </r>
    <r>
      <rPr>
        <sz val="10"/>
        <color rgb="FF0000FF"/>
        <rFont val="Consolas"/>
        <family val="3"/>
        <charset val="204"/>
      </rPr>
      <t>- не включает прокладку АЛ внутри квартиры/дома по комнатам, установку абонентского оборудования, настройки и демонстрацию услуг,подписание акта с абоненто</t>
    </r>
    <r>
      <rPr>
        <sz val="10"/>
        <rFont val="Consolas"/>
        <family val="3"/>
        <charset val="204"/>
      </rPr>
      <t>м</t>
    </r>
  </si>
  <si>
    <r>
      <t xml:space="preserve">для УР 3.7
</t>
    </r>
    <r>
      <rPr>
        <b/>
        <sz val="10"/>
        <color theme="1" tint="0.14999847407452621"/>
        <rFont val="Consolas"/>
        <family val="3"/>
        <charset val="204"/>
      </rPr>
      <t>- применяется только в связке с УР 3.4х,3.5х,3.6.х и только в период строительства</t>
    </r>
  </si>
  <si>
    <r>
      <rPr>
        <sz val="10"/>
        <color rgb="FF0000FF"/>
        <rFont val="Consolas"/>
        <family val="3"/>
        <charset val="204"/>
      </rPr>
      <t>для УР 4.1.1.</t>
    </r>
    <r>
      <rPr>
        <sz val="10"/>
        <color theme="1" tint="0.14999847407452621"/>
        <rFont val="Consolas"/>
        <family val="3"/>
        <charset val="204"/>
      </rPr>
      <t xml:space="preserve">
</t>
    </r>
    <r>
      <rPr>
        <sz val="10"/>
        <color rgb="FF0000FF"/>
        <rFont val="Consolas"/>
        <family val="3"/>
        <charset val="204"/>
      </rPr>
      <t>- не применяется по умолчанию с работами из разделами 3,4,5,6</t>
    </r>
    <r>
      <rPr>
        <sz val="10"/>
        <color theme="1" tint="0.14999847407452621"/>
        <rFont val="Consolas"/>
        <family val="3"/>
        <charset val="204"/>
      </rPr>
      <t xml:space="preserve">
- применяется точечно,в случае выдачи отдельным заказом на планирумые Заказчиком объекты строительства</t>
    </r>
  </si>
  <si>
    <r>
      <rPr>
        <sz val="10"/>
        <color rgb="FF0000FF"/>
        <rFont val="Consolas"/>
        <family val="3"/>
        <charset val="204"/>
      </rPr>
      <t>для УР 4.1.2</t>
    </r>
    <r>
      <rPr>
        <sz val="10"/>
        <color theme="1" tint="0.14999847407452621"/>
        <rFont val="Consolas"/>
        <family val="3"/>
        <charset val="204"/>
      </rPr>
      <t xml:space="preserve">
</t>
    </r>
    <r>
      <rPr>
        <sz val="10"/>
        <color rgb="FF0000FF"/>
        <rFont val="Consolas"/>
        <family val="3"/>
        <charset val="204"/>
      </rPr>
      <t>- не применяется по умолчанию с работами из разделами 3,4,5,6</t>
    </r>
    <r>
      <rPr>
        <sz val="10"/>
        <color theme="1" tint="0.14999847407452621"/>
        <rFont val="Consolas"/>
        <family val="3"/>
        <charset val="204"/>
      </rPr>
      <t xml:space="preserve">
- применяется точечно,в случае выдачи отдельным заказом на планирумые и существующие  объекты связи</t>
    </r>
  </si>
  <si>
    <t>применяется точечно, по письменному обращению Подрядчика.Компенсация затрат не является обязательной и применяется по усмотрению Заказчика</t>
  </si>
  <si>
    <r>
      <t xml:space="preserve">не применяется по умолчанию с работами из разделов 1,2,3,4,5,6
</t>
    </r>
    <r>
      <rPr>
        <sz val="10"/>
        <color theme="1" tint="0.14999847407452621"/>
        <rFont val="Consolas"/>
        <family val="3"/>
        <charset val="204"/>
      </rPr>
      <t>применяется точечно,в случае выдачи отдельным заказом на планирумые и существующие  объекты связи</t>
    </r>
  </si>
  <si>
    <r>
      <t xml:space="preserve">Универсальные расценки для прокладки магистральных ВОЛС в грунт, для любых проектов (В2С,В2В,В2G и пр.)
</t>
    </r>
    <r>
      <rPr>
        <sz val="10"/>
        <color rgb="FF0000FF"/>
        <rFont val="Consolas"/>
        <family val="3"/>
        <charset val="204"/>
      </rPr>
      <t>В общем случае магистральными будут считаться ВОК от УА,точки врезки или др.
ВОК между УД в сетях FTTх в разных зданиях также является магистральным. ВОК между УД в пределах одного здания является "перекидным" и учтён стоимостью "портов"</t>
    </r>
    <r>
      <rPr>
        <sz val="10"/>
        <color theme="1"/>
        <rFont val="Consolas"/>
        <family val="3"/>
        <charset val="204"/>
      </rPr>
      <t xml:space="preserve">          </t>
    </r>
  </si>
  <si>
    <r>
      <t xml:space="preserve">Универсальные расценки для прокладки магистральных ВОЛС по существующим опорам, подвес между зданиями, между конструкций и пр., для любых проектов (В2С,В2В,В2G и пр.)
</t>
    </r>
    <r>
      <rPr>
        <sz val="10"/>
        <color rgb="FF0000FF"/>
        <rFont val="Consolas"/>
        <family val="3"/>
        <charset val="204"/>
      </rPr>
      <t xml:space="preserve">В общем случае магистральными будут считаться ВОК от УА,точки врезки или др.
ВОК между УД в сетях FTTх в разных зданиях также является магистральным. ВОК между УД в пределах одного здания является "перекидным" и учтён стоимостью "портов" </t>
    </r>
  </si>
  <si>
    <t>Расценка для работ на существующем кабеле</t>
  </si>
  <si>
    <r>
      <t xml:space="preserve">Расценка для работ на </t>
    </r>
    <r>
      <rPr>
        <sz val="10"/>
        <color rgb="FF0000FF"/>
        <rFont val="Consolas"/>
        <family val="3"/>
        <charset val="204"/>
      </rPr>
      <t xml:space="preserve">существующем </t>
    </r>
    <r>
      <rPr>
        <sz val="10"/>
        <rFont val="Consolas"/>
        <family val="3"/>
        <charset val="204"/>
      </rPr>
      <t>кабеле</t>
    </r>
  </si>
  <si>
    <r>
      <t xml:space="preserve">Для УР 4.5.х
- не применяется для вновь прокладываемого кабеля
</t>
    </r>
    <r>
      <rPr>
        <sz val="10"/>
        <color theme="1" tint="4.9989318521683403E-2"/>
        <rFont val="Consolas"/>
        <family val="3"/>
        <charset val="204"/>
      </rPr>
      <t xml:space="preserve">- только для существующих кабелей, по отдельному Заказу на оконечивание кабеля
- ёмкость кросса выбирается Заказчиком и указывается в заказе
- кросс,тип адаптеров согласовать с Заказчиком до начала работ
- включает согласование доступа и работ
- включает все измерения (как на вновь проложенном кабеле)
- исполнительная документация согласно требованиям МР (см. приложение к Договору) </t>
    </r>
  </si>
  <si>
    <r>
      <t>Расценка для работ на существующем кабеле и совместно с расценками пп. 4.2.÷ 4.4, при монтаже более 1 оптической муфты на 0,5 км строящейся трассы.</t>
    </r>
    <r>
      <rPr>
        <b/>
        <sz val="10"/>
        <color rgb="FFFF0000"/>
        <rFont val="Consolas"/>
        <family val="3"/>
        <charset val="204"/>
      </rPr>
      <t xml:space="preserve"> 
</t>
    </r>
  </si>
  <si>
    <r>
      <t xml:space="preserve">Для УР 4.6.х
- не применяется для вновь прокладываемого кабеля (за исключением пп. 4.2.÷ 4.4, при монтаже более 1 оптической муфты на 0,5 км строящейся трассы)
</t>
    </r>
    <r>
      <rPr>
        <b/>
        <sz val="10"/>
        <color theme="1" tint="4.9989318521683403E-2"/>
        <rFont val="Consolas"/>
        <family val="3"/>
        <charset val="204"/>
      </rPr>
      <t>- только для существующих кабелей, по отдельному Заказу
- ёмкость кабеля для работ выбирается Заказчиком и указывается в заказе
- муфту, комплектующие согласовать с Заказчиком до начала работ
- включает согласование доступа и работ
- включает все измерения (как на вновь проложенном кабеле)
- исполнительная документация согласно требованиям МР (см. приложение к Договору)</t>
    </r>
    <r>
      <rPr>
        <b/>
        <sz val="10"/>
        <color rgb="FF0000FF"/>
        <rFont val="Consolas"/>
        <family val="3"/>
        <charset val="204"/>
      </rPr>
      <t xml:space="preserve"> </t>
    </r>
  </si>
  <si>
    <r>
      <t xml:space="preserve">Универсальные расценки для прокладки медного в каб. канализации для любых проектов (В2С,В2В,В2G и пр.)
Для любых вариантов:магистральных,распределительных,перемычных и пр.
</t>
    </r>
    <r>
      <rPr>
        <sz val="10"/>
        <color rgb="FFFF0000"/>
        <rFont val="Consolas"/>
        <family val="3"/>
        <charset val="204"/>
      </rPr>
      <t>Именно эту расценку использовать,когда требуется проложить медный кабель (не UTP/FTP) только внутри объекта (для любых проектов)</t>
    </r>
  </si>
  <si>
    <r>
      <rPr>
        <sz val="10"/>
        <color rgb="FF0000FF"/>
        <rFont val="Consolas"/>
        <family val="3"/>
        <charset val="204"/>
      </rPr>
      <t>Для УР 4.7.х</t>
    </r>
    <r>
      <rPr>
        <sz val="10"/>
        <color theme="1"/>
        <rFont val="Consolas"/>
        <family val="3"/>
        <charset val="204"/>
      </rPr>
      <t xml:space="preserve">
- внутриобъектовые работы включают стоимость всех применяемых материалов
- включает восстановление отделки поверхностей при внутриобъектовых работах
- бирки на кабель и наклейки на оконечные устройства
- включает установку доп. консолей (при необходимости) с их стоимостью
</t>
    </r>
    <r>
      <rPr>
        <sz val="10"/>
        <color rgb="FF0000FF"/>
        <rFont val="Consolas"/>
        <family val="3"/>
        <charset val="204"/>
      </rPr>
      <t xml:space="preserve">- не включает восстановление канализации
</t>
    </r>
    <r>
      <rPr>
        <sz val="10"/>
        <color theme="1"/>
        <rFont val="Consolas"/>
        <family val="3"/>
        <charset val="204"/>
      </rPr>
      <t xml:space="preserve">- длина кабеля берется физическая
- учёт прокладки кабеля "до кросса" означает до любого оконечного устройства,на котором расшит кабель 
- исполнительная документация согласно требованиям МР (см. приложение к Договору)
- строительство кабельного ввода (при необходимости) от сущ. колодца до объекта производится </t>
    </r>
    <r>
      <rPr>
        <sz val="10"/>
        <color rgb="FF0000FF"/>
        <rFont val="Consolas"/>
        <family val="3"/>
        <charset val="204"/>
      </rPr>
      <t>по расценкам  5.24÷5.25</t>
    </r>
    <r>
      <rPr>
        <sz val="10"/>
        <color theme="1"/>
        <rFont val="Consolas"/>
        <family val="3"/>
        <charset val="204"/>
      </rPr>
      <t>.Обычный ввод на стену или опору (в грунте до объекта, ввод через "гусак") включен в данную расценку</t>
    </r>
  </si>
  <si>
    <r>
      <t xml:space="preserve">Универсальные расценки для прокладки медного кабеля в грунт для любых проектов (В2С,В2В,В2G и пр.)
</t>
    </r>
    <r>
      <rPr>
        <sz val="10"/>
        <color rgb="FF0000FF"/>
        <rFont val="Consolas"/>
        <family val="3"/>
        <charset val="204"/>
      </rPr>
      <t>Для любых вариантов:магистральных,распределительных,перемычных и пр</t>
    </r>
    <r>
      <rPr>
        <sz val="10"/>
        <color theme="1"/>
        <rFont val="Consolas"/>
        <family val="3"/>
        <charset val="204"/>
      </rPr>
      <t>.</t>
    </r>
  </si>
  <si>
    <r>
      <rPr>
        <sz val="10"/>
        <color rgb="FF0000FF"/>
        <rFont val="Consolas"/>
        <family val="3"/>
        <charset val="204"/>
      </rPr>
      <t>Для УР 4.8.х</t>
    </r>
    <r>
      <rPr>
        <sz val="10"/>
        <color theme="1"/>
        <rFont val="Consolas"/>
        <family val="3"/>
        <charset val="204"/>
      </rPr>
      <t xml:space="preserve">
- внутриобъектовые работы включают стоимость всех применяемых материалов
- включает восстановление отделки поверхностей при внутриобъектовых работах
- включает бирки на кабель и наклейки на оконечные устройства
- установка пикетных, информационных столбиков и плакатов
- включая работы по восстановлению дорожных и тротуарных покрытий и благоустройств
- включая потраву сельхозугодий (земель)
- включая справки о выполнении ТУ от собственников инфраструктуры;
- включая земельное дело, заказ и оплата топосъемок и согласований (при строительстве) в т.ч. и схемы выбора направлений трассы,заказ и оплата топосъемки исполнительной,оформление охранных зон линий связи,постановка на кадастровый учёт; сдача в надзорные органы
- строительство кабельного ввода (при необходимости) ,с установкой колодцев,прокладкой канала,производится </t>
    </r>
    <r>
      <rPr>
        <sz val="10"/>
        <color rgb="FF0000FF"/>
        <rFont val="Consolas"/>
        <family val="3"/>
        <charset val="204"/>
      </rPr>
      <t>по расценкам  5.24÷5.25</t>
    </r>
    <r>
      <rPr>
        <sz val="10"/>
        <color theme="1"/>
        <rFont val="Consolas"/>
        <family val="3"/>
        <charset val="204"/>
      </rPr>
      <t xml:space="preserve">.Обычный ввод на стену или опору (в грунте до объекта, ввод через "гусак") включен в данную расценку
- длина кабеля берется физическая
- учёт прокладки кабеля "до кросса" означает до любого оконечного устройства,на котором расшит кабель
</t>
    </r>
    <r>
      <rPr>
        <sz val="10"/>
        <color rgb="FF0000FF"/>
        <rFont val="Consolas"/>
        <family val="3"/>
        <charset val="204"/>
      </rPr>
      <t>- не включает ГНБ/ГНП. При необходимости выполнения ГНБ/ГНП согласовать предварительно с Заказчиком</t>
    </r>
    <r>
      <rPr>
        <sz val="10"/>
        <color theme="1"/>
        <rFont val="Consolas"/>
        <family val="3"/>
        <charset val="204"/>
      </rPr>
      <t xml:space="preserve">
- исполнительная документация согласно требованиям МР (см. приложение к Договору</t>
    </r>
  </si>
  <si>
    <r>
      <t xml:space="preserve">Универсальные расценки для подвеса медного кабеля, на опоры,между зданиями, конструкциями и пр.,для любых проектов (В2С,В2В,В2G и пр.)
</t>
    </r>
    <r>
      <rPr>
        <b/>
        <sz val="10"/>
        <color rgb="FF0000FF"/>
        <rFont val="Consolas"/>
        <family val="3"/>
        <charset val="204"/>
      </rPr>
      <t>Для любых вариантов:магистральных,распределительных,перемычных и пр.</t>
    </r>
  </si>
  <si>
    <r>
      <rPr>
        <sz val="10"/>
        <color rgb="FF0000FF"/>
        <rFont val="Consolas"/>
        <family val="3"/>
        <charset val="204"/>
      </rPr>
      <t>Для УР 4.9.х</t>
    </r>
    <r>
      <rPr>
        <sz val="10"/>
        <color theme="1"/>
        <rFont val="Consolas"/>
        <family val="3"/>
        <charset val="204"/>
      </rPr>
      <t xml:space="preserve">
- внутриобъектовые работы включают стоимость всех применяемых материалов
- включает стоимость оснастки сущ. опор или трубостоек для подвеса/крепления кабеля
- включает восстановление отделки поверхностей при внутриобъектовых работах
- включает бирки на кабель и наклейки на оконечные устройства
- установка плакатов
- выравнивание, установка оттяжек, перевязка существующих опор Заказчика и пр.
- подрезка крон деревьев
- включая справки о выполнении ТУ от собственников инфраструктуры;
- оформление охранных зон линий связи,сдача в надзорные органы
- длина кабеля берется физическая
- учёт прокладки кабеля "до кросса" означает до любого оконечного устройства,на котором расшит кабель 
- исполнительная документация согласно требованиям МР (см. приложение к Договору)</t>
    </r>
  </si>
  <si>
    <r>
      <rPr>
        <sz val="10"/>
        <color rgb="FF0000FF"/>
        <rFont val="Consolas"/>
        <family val="3"/>
        <charset val="204"/>
      </rPr>
      <t>Для УР 4.10.х</t>
    </r>
    <r>
      <rPr>
        <sz val="10"/>
        <color theme="1"/>
        <rFont val="Consolas"/>
        <family val="3"/>
        <charset val="204"/>
      </rPr>
      <t xml:space="preserve">
- не применяется для вновь прокладываемого кабеля
- только для существующих кабелей, по отдельному Заказу
- муфту, технологию монтажа,соединители согласовать с Заказчиком до начала работ
- включает согласование доступа и работ
- включает все измерения (как на вновь проложенном кабеле)
- исполнительная документация согласно требованиям МР (см. приложение к Договору) </t>
    </r>
  </si>
  <si>
    <r>
      <t xml:space="preserve">Расценка для работ на </t>
    </r>
    <r>
      <rPr>
        <b/>
        <sz val="10"/>
        <color rgb="FF0000FF"/>
        <rFont val="Consolas"/>
        <family val="3"/>
        <charset val="204"/>
      </rPr>
      <t xml:space="preserve">существующих </t>
    </r>
    <r>
      <rPr>
        <sz val="10"/>
        <color theme="1" tint="4.9989318521683403E-2"/>
        <rFont val="Consolas"/>
        <family val="3"/>
        <charset val="204"/>
      </rPr>
      <t>сетях (при переключениях,замене кабеля и пр.)</t>
    </r>
  </si>
  <si>
    <r>
      <rPr>
        <sz val="10"/>
        <color theme="1" tint="4.9989318521683403E-2"/>
        <rFont val="Consolas"/>
        <family val="3"/>
        <charset val="204"/>
      </rPr>
      <t>Расценка для работ на</t>
    </r>
    <r>
      <rPr>
        <sz val="10"/>
        <color rgb="FF0000FF"/>
        <rFont val="Consolas"/>
        <family val="3"/>
        <charset val="204"/>
      </rPr>
      <t xml:space="preserve"> существующем </t>
    </r>
    <r>
      <rPr>
        <sz val="10"/>
        <color theme="1" tint="4.9989318521683403E-2"/>
        <rFont val="Consolas"/>
        <family val="3"/>
        <charset val="204"/>
      </rPr>
      <t xml:space="preserve">кабеле.
</t>
    </r>
    <r>
      <rPr>
        <sz val="10"/>
        <color rgb="FF0000FF"/>
        <rFont val="Consolas"/>
        <family val="3"/>
        <charset val="204"/>
      </rPr>
      <t>- не применяется для вновь прокладываемого кабеля</t>
    </r>
    <r>
      <rPr>
        <sz val="10"/>
        <color theme="1" tint="4.9989318521683403E-2"/>
        <rFont val="Consolas"/>
        <family val="3"/>
        <charset val="204"/>
      </rPr>
      <t xml:space="preserve">
- только для существующих кабелей, по отдельному Заказу на оконечивание кабеля
- боксы,патч-панели,тип плинтов согласовать с Заказчиком до начала работ
- включает согласование доступа и работ
- включает все измерения (как на вновь проложенном кабеле)
- исполнительная документация согласно требованиям МР (см. приложение к Договору) </t>
    </r>
  </si>
  <si>
    <r>
      <t xml:space="preserve">СМР: демонтаж, разделка, удаление загрязнений, инвентаризация существующих сварок, разварка волокон (до 16 ОВ), реконфигурация схемы разварки, замена корпуса муфты и комплектующих, сборка, герметизация, включая стоимость основных и расходных материалов, транспортные и все прочие расходы. Паспортизация (не ограничиваясь перечисленным: в электронном виде, Excel-формат для рефлектограмм, протоколы, схемы разварки). </t>
    </r>
    <r>
      <rPr>
        <sz val="10"/>
        <color rgb="FF0000FF"/>
        <rFont val="Consolas"/>
        <family val="3"/>
        <charset val="204"/>
      </rPr>
      <t>При разварке свыше 16 ОВ дополнительно применяется расценка 6.24.</t>
    </r>
  </si>
  <si>
    <r>
      <rPr>
        <sz val="10"/>
        <color theme="1" tint="4.9989318521683403E-2"/>
        <rFont val="Consolas"/>
        <family val="3"/>
        <charset val="204"/>
      </rPr>
      <t xml:space="preserve">Расценка для работ </t>
    </r>
    <r>
      <rPr>
        <sz val="10"/>
        <color rgb="FF0000FF"/>
        <rFont val="Consolas"/>
        <family val="3"/>
        <charset val="204"/>
      </rPr>
      <t>на существующем ВОК, в существующей муфте</t>
    </r>
    <r>
      <rPr>
        <sz val="10"/>
        <color theme="1" tint="4.9989318521683403E-2"/>
        <rFont val="Consolas"/>
        <family val="3"/>
        <charset val="204"/>
      </rPr>
      <t xml:space="preserve">
- не применяется для вновь прокладываемого кабеля
- только для существующих муфт на существующих кабелях, по отдельному Заказу на такие работы
- муфту и комплектующие согласовать с Заказчиком до начала работ
- включает рефлектограммы в "родном" формате рефлектометра</t>
    </r>
  </si>
  <si>
    <r>
      <rPr>
        <sz val="10"/>
        <color theme="1" tint="4.9989318521683403E-2"/>
        <rFont val="Consolas"/>
        <family val="3"/>
        <charset val="204"/>
      </rPr>
      <t xml:space="preserve">Расценка для работ по демонтажу </t>
    </r>
    <r>
      <rPr>
        <sz val="10"/>
        <color rgb="FF0000FF"/>
        <rFont val="Consolas"/>
        <family val="3"/>
        <charset val="204"/>
      </rPr>
      <t>существующего</t>
    </r>
    <r>
      <rPr>
        <sz val="10"/>
        <color theme="1" tint="4.9989318521683403E-2"/>
        <rFont val="Consolas"/>
        <family val="3"/>
        <charset val="204"/>
      </rPr>
      <t xml:space="preserve"> ВОК из канализации любой ёмкости.
- для демонтажа ВОК,предназначенного для дальнейшего использования </t>
    </r>
    <r>
      <rPr>
        <sz val="10"/>
        <color rgb="FF0000FF"/>
        <rFont val="Consolas"/>
        <family val="3"/>
        <charset val="204"/>
      </rPr>
      <t xml:space="preserve">(не для утилизации)
</t>
    </r>
    <r>
      <rPr>
        <sz val="10"/>
        <color theme="1" tint="4.9989318521683403E-2"/>
        <rFont val="Consolas"/>
        <family val="3"/>
        <charset val="204"/>
      </rPr>
      <t xml:space="preserve">- восстановление герметазиции каналов  колодцах после демонтажа кабеля
</t>
    </r>
    <r>
      <rPr>
        <sz val="10"/>
        <color rgb="FF0000FF"/>
        <rFont val="Consolas"/>
        <family val="3"/>
        <charset val="204"/>
      </rPr>
      <t>- не включает восстановление канализации</t>
    </r>
    <r>
      <rPr>
        <sz val="10"/>
        <color theme="1" tint="4.9989318521683403E-2"/>
        <rFont val="Consolas"/>
        <family val="3"/>
        <charset val="204"/>
      </rPr>
      <t xml:space="preserve">
- включает очистку/промывку демонтированного кабеля от грязи перед намоткой в бухты/на барабан
- включает согласование работ с владельцем канализации (получение разрешительной документации, нарядов-допусков и пр.)
</t>
    </r>
    <r>
      <rPr>
        <sz val="10"/>
        <color rgb="FF0000FF"/>
        <rFont val="Consolas"/>
        <family val="3"/>
        <charset val="204"/>
      </rPr>
      <t>- включает стоимость барабана</t>
    </r>
    <r>
      <rPr>
        <sz val="10"/>
        <color theme="1" tint="4.9989318521683403E-2"/>
        <rFont val="Consolas"/>
        <family val="3"/>
        <charset val="204"/>
      </rPr>
      <t>.Необходимость использования барабана, его тип и размер согласовать с Заказчиком  до начала работ
- включает демонтаж оконечных устройств (кроссов) со сдачей Заказчику (при необходимости, уточнить у Заказчика)
- включает герметизацию/заделку концов кабеля</t>
    </r>
  </si>
  <si>
    <r>
      <rPr>
        <sz val="10"/>
        <color theme="1" tint="4.9989318521683403E-2"/>
        <rFont val="Consolas"/>
        <family val="3"/>
        <charset val="204"/>
      </rPr>
      <t xml:space="preserve">Расценка для работ по демонтажу существующего ВОК с опор (конструкций,крыш/кровель,трубостоек,деревьев и пр.)  любой ёмкости.
- для демонтажа любого подвесного кабеля, в т.ч. и между зданий, по конструкциям, деревьям и пр.
- для демонтажа ВОК,предназначенного для дальнейшего использования </t>
    </r>
    <r>
      <rPr>
        <sz val="10"/>
        <color rgb="FF0000FF"/>
        <rFont val="Consolas"/>
        <family val="3"/>
        <charset val="204"/>
      </rPr>
      <t>(не для утилизации)</t>
    </r>
    <r>
      <rPr>
        <sz val="10"/>
        <color theme="1" tint="4.9989318521683403E-2"/>
        <rFont val="Consolas"/>
        <family val="3"/>
        <charset val="204"/>
      </rPr>
      <t xml:space="preserve">
- демонтаж,в т.ч и демонтаж оснастки с опор, трубостоек на конструкциях,зданиях (при необходимости, уточнить у Заказчика)
- включает согласование работ с владельцем опор (получение разрешительной документации, нарядов-допусков и пр.)
- включает очистку/промывку демонтированного кабеля от грязи перед намоткой в бухты/на барабан
</t>
    </r>
    <r>
      <rPr>
        <sz val="10"/>
        <color rgb="FF0000FF"/>
        <rFont val="Consolas"/>
        <family val="3"/>
        <charset val="204"/>
      </rPr>
      <t>- включает стоимость барабана.</t>
    </r>
    <r>
      <rPr>
        <sz val="10"/>
        <color theme="1" tint="4.9989318521683403E-2"/>
        <rFont val="Consolas"/>
        <family val="3"/>
        <charset val="204"/>
      </rPr>
      <t>Необходимость использования барабана, его тип и размер согласовать с Заказчиком  до начала работ
- включает демонтаж оконечных устройств (кроссов) со сдачей Заказчику (при необходимости, уточнить у Заказчика)
- включает герметизацию/заделку концов кабеля</t>
    </r>
  </si>
  <si>
    <r>
      <rPr>
        <sz val="10"/>
        <color theme="1" tint="4.9989318521683403E-2"/>
        <rFont val="Consolas"/>
        <family val="3"/>
        <charset val="204"/>
      </rPr>
      <t xml:space="preserve">Расценка для работ по демонтажу существующего медного кабеля из канализации ёмкостью </t>
    </r>
    <r>
      <rPr>
        <sz val="10"/>
        <color rgb="FF0000FF"/>
        <rFont val="Consolas"/>
        <family val="3"/>
        <charset val="204"/>
      </rPr>
      <t>от 10 до 600 пар.</t>
    </r>
    <r>
      <rPr>
        <sz val="10"/>
        <color theme="1" tint="4.9989318521683403E-2"/>
        <rFont val="Consolas"/>
        <family val="3"/>
        <charset val="204"/>
      </rPr>
      <t xml:space="preserve">
- для двух вариантов демонтажа: для утилизации или для дальнейшего использования.Уточнить у Заказчика до начала работ
- восстановление герметазиции каналов  колодцах после демонтажа кабеля
</t>
    </r>
    <r>
      <rPr>
        <sz val="10"/>
        <color rgb="FF0000FF"/>
        <rFont val="Consolas"/>
        <family val="3"/>
        <charset val="204"/>
      </rPr>
      <t>- не включает восстановление канализации</t>
    </r>
    <r>
      <rPr>
        <sz val="10"/>
        <color theme="1" tint="4.9989318521683403E-2"/>
        <rFont val="Consolas"/>
        <family val="3"/>
        <charset val="204"/>
      </rPr>
      <t xml:space="preserve">
- включает очистку/промывку демонтированного кабеля от грязи перед намоткой в бухты/на барабан
- включает согласование работ с владельцем канализации (получение разрешительной документации, нарядов-допусков и пр.)
</t>
    </r>
    <r>
      <rPr>
        <sz val="10"/>
        <color rgb="FF0000FF"/>
        <rFont val="Consolas"/>
        <family val="3"/>
        <charset val="204"/>
      </rPr>
      <t>- включает стоимость барабана.</t>
    </r>
    <r>
      <rPr>
        <sz val="10"/>
        <color theme="1" tint="4.9989318521683403E-2"/>
        <rFont val="Consolas"/>
        <family val="3"/>
        <charset val="204"/>
      </rPr>
      <t>Необходимость использования барабана, его тип и размер согласовать с Заказчиком  до начала работ
- включает демонтаж оконечных устройств (боксов,коробок и пр.) со сдачей Заказчику (при необходимости, уточнить у Заказчика)
- включает герметизацию/заделку концов кабеля</t>
    </r>
  </si>
  <si>
    <r>
      <t xml:space="preserve">Расценка для работ по демонтажу существующего медного кабеля из грунта ёмкостью </t>
    </r>
    <r>
      <rPr>
        <sz val="10"/>
        <color rgb="FF0000FF"/>
        <rFont val="Consolas"/>
        <family val="3"/>
        <charset val="204"/>
      </rPr>
      <t>от 10 до 600 пар.</t>
    </r>
    <r>
      <rPr>
        <sz val="10"/>
        <color theme="1" tint="4.9989318521683403E-2"/>
        <rFont val="Consolas"/>
        <family val="3"/>
        <charset val="204"/>
      </rPr>
      <t xml:space="preserve">
- для двух вариантов демонтажа: для утилизации или для дальнейшего использования.Уточнить у Заказчика до начала работ
</t>
    </r>
    <r>
      <rPr>
        <sz val="10"/>
        <color rgb="FF0000FF"/>
        <rFont val="Consolas"/>
        <family val="3"/>
        <charset val="204"/>
      </rPr>
      <t xml:space="preserve">- для варианта "для дальнейшего использования" демонтаж проводить только с раскопкой мест залегания кабеля.Механизированный силовой демонтаж без вскрытия грунта ("выдирание") запрещён. </t>
    </r>
    <r>
      <rPr>
        <sz val="10"/>
        <color theme="1" tint="4.9989318521683403E-2"/>
        <rFont val="Consolas"/>
        <family val="3"/>
        <charset val="204"/>
      </rPr>
      <t xml:space="preserve">
- восстановление герметазиции каналов  колодцах после демонтажа кабеля
- включает очистку/промывку демонтированного кабеля от грязи перед намоткой в бухты/на барабан
- включает согласование работ с владельцем территорий и участков(получение разрешительной документации, нарядов-допусков и пр.)
</t>
    </r>
    <r>
      <rPr>
        <sz val="10"/>
        <color rgb="FF0000FF"/>
        <rFont val="Consolas"/>
        <family val="3"/>
        <charset val="204"/>
      </rPr>
      <t>- включает стоимость барабана.</t>
    </r>
    <r>
      <rPr>
        <sz val="10"/>
        <color theme="1" tint="4.9989318521683403E-2"/>
        <rFont val="Consolas"/>
        <family val="3"/>
        <charset val="204"/>
      </rPr>
      <t>Необходимость использования барабана, его тип и размер согласовать с Заказчиком  до начала работ
- включает демонтаж оконечных устройств (боксов,коробок и пр.) со сдачей Заказчику (при необходимости, уточнить у Заказчика)
- включает герметизацию/заделку концов кабеля</t>
    </r>
  </si>
  <si>
    <r>
      <t xml:space="preserve">Расценка для работ по демонтажу существующего медного кабеля подвесного с опор (конструкций,крыш/кровель,трубостоек,деревьев и пр.) ёмкостью </t>
    </r>
    <r>
      <rPr>
        <sz val="10"/>
        <color rgb="FF0000FF"/>
        <rFont val="Consolas"/>
        <family val="3"/>
        <charset val="204"/>
      </rPr>
      <t>от 10 до 600 пар.</t>
    </r>
    <r>
      <rPr>
        <sz val="10"/>
        <color theme="1" tint="4.9989318521683403E-2"/>
        <rFont val="Consolas"/>
        <family val="3"/>
        <charset val="204"/>
      </rPr>
      <t xml:space="preserve">
- для демонтажа подвесного кабеля, в т.ч. и между зданий, по конструкциям, деревьям и пр.
- для двух вариантов демонтажа: для утилизации или для дальнейшего использования.Уточнить у Заказчика до начала работ
- демонтаж,в т.ч и демонтаж оснастки с опор, трубостоек на конструкциях,зданиях (при необходимости, уточнить у Заказчика)
- восстановление герметазиции каналов  колодцах после демонтажа кабеля (при необходимости)
- включает очистку/промывку демонтированного кабеля от грязи перед намоткой в бухты/на барабан
- включает согласование работ с владельцем опор (получение разрешительной документации, нарядов-допусков и пр.)
</t>
    </r>
    <r>
      <rPr>
        <sz val="10"/>
        <color rgb="FF0000FF"/>
        <rFont val="Consolas"/>
        <family val="3"/>
        <charset val="204"/>
      </rPr>
      <t>- включает стоимость барабана.</t>
    </r>
    <r>
      <rPr>
        <sz val="10"/>
        <color theme="1" tint="4.9989318521683403E-2"/>
        <rFont val="Consolas"/>
        <family val="3"/>
        <charset val="204"/>
      </rPr>
      <t>Необходимость использования барабана, его тип и размер согласовать с Заказчиком  до начала работ
- включает демонтаж оконечных устройств (боксов,коробок и пр.) со сдачей Заказчику (при необходимости, уточнить у Заказчика)
- включает герметизацию/заделку концов кабеля</t>
    </r>
  </si>
  <si>
    <r>
      <t xml:space="preserve">Применяется исключительно только во время строительства основной канализации для случаев,когда нужно строить канализацию с числом каналов </t>
    </r>
    <r>
      <rPr>
        <sz val="10"/>
        <color rgb="FF0000FF"/>
        <rFont val="Consolas"/>
        <family val="3"/>
        <charset val="204"/>
      </rPr>
      <t>&gt; 2.</t>
    </r>
    <r>
      <rPr>
        <sz val="10"/>
        <color theme="1" tint="4.9989318521683403E-2"/>
        <rFont val="Consolas"/>
        <family val="3"/>
        <charset val="204"/>
      </rPr>
      <t xml:space="preserve">
- при этом колодцы на трассе меняются под нужный типоразмер с учетом общего числа каналов (на основании Руководства по строительству ЛКСС).Стоимость этих колодцев учтена данной расценкой.</t>
    </r>
  </si>
  <si>
    <r>
      <t xml:space="preserve">Применяется исключительно только на </t>
    </r>
    <r>
      <rPr>
        <sz val="10"/>
        <color rgb="FF0000FF"/>
        <rFont val="Consolas"/>
        <family val="3"/>
        <charset val="204"/>
      </rPr>
      <t xml:space="preserve">существующей </t>
    </r>
    <r>
      <rPr>
        <sz val="10"/>
        <color theme="1" tint="4.9989318521683403E-2"/>
        <rFont val="Consolas"/>
        <family val="3"/>
        <charset val="204"/>
      </rPr>
      <t xml:space="preserve">канализации.
- стоимость колодцев не входит.Если нужно перебивать колодцы, применяется </t>
    </r>
    <r>
      <rPr>
        <sz val="10"/>
        <color rgb="FF0000FF"/>
        <rFont val="Consolas"/>
        <family val="3"/>
        <charset val="204"/>
      </rPr>
      <t>расценка 5.14</t>
    </r>
    <r>
      <rPr>
        <sz val="10"/>
        <color theme="1" tint="4.9989318521683403E-2"/>
        <rFont val="Consolas"/>
        <family val="3"/>
        <charset val="204"/>
      </rPr>
      <t xml:space="preserve"> (для любых типоразмеров колодцев)
- все согласования, земляные работы,изыскания и съёмки входят в данную расценку,включая сдачу объекта в надзорные органы
</t>
    </r>
    <r>
      <rPr>
        <sz val="10"/>
        <color rgb="FF0000FF"/>
        <rFont val="Consolas"/>
        <family val="3"/>
        <charset val="204"/>
      </rPr>
      <t>- не включает восстановление канализации
- благоустройство не входит в данную расценку</t>
    </r>
  </si>
  <si>
    <r>
      <t xml:space="preserve">Расценка на ГНБ/ГНП для переходов из 2-х труб диаметром </t>
    </r>
    <r>
      <rPr>
        <sz val="10"/>
        <color rgb="FF0000FF"/>
        <rFont val="Consolas"/>
        <family val="3"/>
        <charset val="204"/>
      </rPr>
      <t>от 63 мм до 110 мм</t>
    </r>
    <r>
      <rPr>
        <sz val="10"/>
        <color theme="1" tint="4.9989318521683403E-2"/>
        <rFont val="Consolas"/>
        <family val="3"/>
        <charset val="204"/>
      </rPr>
      <t xml:space="preserve"> для двух диапазонов категорий грунтов
- по данной расценке выполняется ГНБ/ГНП </t>
    </r>
    <r>
      <rPr>
        <sz val="10"/>
        <color rgb="FF0000FF"/>
        <rFont val="Consolas"/>
        <family val="3"/>
        <charset val="204"/>
      </rPr>
      <t xml:space="preserve">из 2-х </t>
    </r>
    <r>
      <rPr>
        <sz val="10"/>
        <color theme="1" tint="4.9989318521683403E-2"/>
        <rFont val="Consolas"/>
        <family val="3"/>
        <charset val="204"/>
      </rPr>
      <t>труб
- диаметр труб выбирается Заказчиком и отражается в заказе.</t>
    </r>
    <r>
      <rPr>
        <sz val="10"/>
        <color rgb="FF0000FF"/>
        <rFont val="Consolas"/>
        <family val="3"/>
        <charset val="204"/>
      </rPr>
      <t>Оба диаметра входят в данную расценку</t>
    </r>
    <r>
      <rPr>
        <sz val="10"/>
        <color theme="1" tint="4.9989318521683403E-2"/>
        <rFont val="Consolas"/>
        <family val="3"/>
        <charset val="204"/>
      </rPr>
      <t xml:space="preserve">
- необходимость выполнения переходов ГНБ/ГНП определяется подрядчиком на этапе ПИР и согласовыввается с Заказчиком отдельно
- включает все соглассования, разрешений,получения ТУ,справки о выполнении ТУ от собственников инфраструктуры
- учитывает стесненные городские условия
</t>
    </r>
    <r>
      <rPr>
        <sz val="10"/>
        <color rgb="FF0000FF"/>
        <rFont val="Consolas"/>
        <family val="3"/>
        <charset val="204"/>
      </rPr>
      <t>- не включает благоустройство</t>
    </r>
    <r>
      <rPr>
        <sz val="10"/>
        <color theme="1" tint="4.9989318521683403E-2"/>
        <rFont val="Consolas"/>
        <family val="3"/>
        <charset val="204"/>
      </rPr>
      <t xml:space="preserve">
- исполнительная документация согласно требованиям МР (см. приложение к Договору)</t>
    </r>
  </si>
  <si>
    <r>
      <t xml:space="preserve">Расценка на ГНБ/ГНП для дополнительных труб диаметром </t>
    </r>
    <r>
      <rPr>
        <sz val="10"/>
        <color rgb="FF0000FF"/>
        <rFont val="Consolas"/>
        <family val="3"/>
        <charset val="204"/>
      </rPr>
      <t>от 63 мм до 110 мм</t>
    </r>
    <r>
      <rPr>
        <sz val="10"/>
        <color theme="1" tint="4.9989318521683403E-2"/>
        <rFont val="Consolas"/>
        <family val="3"/>
        <charset val="204"/>
      </rPr>
      <t xml:space="preserve">
- применяется только в связке с расценкой 5.5 (5.5.х),</t>
    </r>
    <r>
      <rPr>
        <sz val="10"/>
        <color rgb="FF0000FF"/>
        <rFont val="Consolas"/>
        <family val="3"/>
        <charset val="204"/>
      </rPr>
      <t>отдельно не применяется.</t>
    </r>
    <r>
      <rPr>
        <sz val="10"/>
        <color theme="1" tint="4.9989318521683403E-2"/>
        <rFont val="Consolas"/>
        <family val="3"/>
        <charset val="204"/>
      </rPr>
      <t xml:space="preserve">
- все положения аналогичны как в расценке 5.5. (5.5.х)</t>
    </r>
  </si>
  <si>
    <r>
      <t xml:space="preserve">Расценка на ГНБ/ГНП для переходов </t>
    </r>
    <r>
      <rPr>
        <sz val="10"/>
        <color rgb="FF0000FF"/>
        <rFont val="Consolas"/>
        <family val="3"/>
        <charset val="204"/>
      </rPr>
      <t>из 1-й трубы диаметром от 63 мм до 110 мм</t>
    </r>
    <r>
      <rPr>
        <sz val="10"/>
        <color theme="1" tint="4.9989318521683403E-2"/>
        <rFont val="Consolas"/>
        <family val="3"/>
        <charset val="204"/>
      </rPr>
      <t xml:space="preserve"> для двух диапазонов категорий грунтов
- по данной расценке выполняется ГНБ/ГНП </t>
    </r>
    <r>
      <rPr>
        <sz val="10"/>
        <color rgb="FF0000FF"/>
        <rFont val="Consolas"/>
        <family val="3"/>
        <charset val="204"/>
      </rPr>
      <t>из одной трубы</t>
    </r>
    <r>
      <rPr>
        <sz val="10"/>
        <color theme="1" tint="4.9989318521683403E-2"/>
        <rFont val="Consolas"/>
        <family val="3"/>
        <charset val="204"/>
      </rPr>
      <t xml:space="preserve">
- диаметр трубы выбирается Заказчиком и отражается в заказе.
- необходимость выполнения переходов ГНБ/ГНП определяется подрядчиком на этапе ПИР и согласовывается с Заказчиком отдельно
- включает все виды согласований, разрешений,получение ТУ,справки о выполнении ТУ от собственников инфраструктуры
- учитывает стесненные городские условия
</t>
    </r>
    <r>
      <rPr>
        <sz val="10"/>
        <color rgb="FF0000FF"/>
        <rFont val="Consolas"/>
        <family val="3"/>
        <charset val="204"/>
      </rPr>
      <t>- не включает благоустройство</t>
    </r>
    <r>
      <rPr>
        <sz val="10"/>
        <color theme="1" tint="4.9989318521683403E-2"/>
        <rFont val="Consolas"/>
        <family val="3"/>
        <charset val="204"/>
      </rPr>
      <t xml:space="preserve">
- исполнительная документация согласно требованиям МР (см. приложение к Договору)</t>
    </r>
  </si>
  <si>
    <r>
      <t xml:space="preserve">Расценки на установку колодцев ККС-Х (Х- любой типоразмер)
</t>
    </r>
    <r>
      <rPr>
        <sz val="10"/>
        <color rgb="FF0000FF"/>
        <rFont val="Consolas"/>
        <family val="3"/>
        <charset val="204"/>
      </rPr>
      <t>- не применяются при строительстве канализации по расценке 5.1.</t>
    </r>
    <r>
      <rPr>
        <sz val="10"/>
        <color theme="1" tint="4.9989318521683403E-2"/>
        <rFont val="Consolas"/>
        <family val="3"/>
        <charset val="204"/>
      </rPr>
      <t xml:space="preserve">
- применяются,в том числе,для установки на существующей кабельной канализации ("набивка")
</t>
    </r>
    <r>
      <rPr>
        <sz val="10"/>
        <color rgb="FF0000FF"/>
        <rFont val="Consolas"/>
        <family val="3"/>
        <charset val="204"/>
      </rPr>
      <t>- включают благоустройство</t>
    </r>
    <r>
      <rPr>
        <sz val="10"/>
        <color theme="1" tint="4.9989318521683403E-2"/>
        <rFont val="Consolas"/>
        <family val="3"/>
        <charset val="204"/>
      </rPr>
      <t xml:space="preserve">
- остальные положения такие же,как и в расценке 5.1.
</t>
    </r>
    <r>
      <rPr>
        <sz val="10"/>
        <color rgb="FF0000FF"/>
        <rFont val="Consolas"/>
        <family val="3"/>
        <charset val="204"/>
      </rPr>
      <t>- не применяются при перебивке (замене) существующих колодцев</t>
    </r>
  </si>
  <si>
    <r>
      <t xml:space="preserve">Расценки на перебивку (замену) существующих колодцев ККС-Х (Х-любой типоразмер)
</t>
    </r>
    <r>
      <rPr>
        <sz val="10"/>
        <color rgb="FF0000FF"/>
        <rFont val="Consolas"/>
        <family val="3"/>
        <charset val="204"/>
      </rPr>
      <t>- не применяются при строительстве канализации по расценке 5.1.</t>
    </r>
    <r>
      <rPr>
        <sz val="10"/>
        <color theme="1" tint="4.9989318521683403E-2"/>
        <rFont val="Consolas"/>
        <family val="3"/>
        <charset val="204"/>
      </rPr>
      <t xml:space="preserve">
- включает любой тип и разновидность колодцев
- применяется,в том числе,для перебивки колодцев без докладки доп. канала
</t>
    </r>
    <r>
      <rPr>
        <sz val="10"/>
        <color rgb="FF0000FF"/>
        <rFont val="Consolas"/>
        <family val="3"/>
        <charset val="204"/>
      </rPr>
      <t>- включают благоустройство</t>
    </r>
    <r>
      <rPr>
        <sz val="10"/>
        <color theme="1" tint="4.9989318521683403E-2"/>
        <rFont val="Consolas"/>
        <family val="3"/>
        <charset val="204"/>
      </rPr>
      <t xml:space="preserve">
- остальные положения такие же,как и в расценке 5.1.</t>
    </r>
  </si>
  <si>
    <r>
      <t xml:space="preserve">Расценки на восстановление покрытий </t>
    </r>
    <r>
      <rPr>
        <sz val="10"/>
        <color rgb="FF0000FF"/>
        <rFont val="Consolas"/>
        <family val="3"/>
        <charset val="204"/>
      </rPr>
      <t>на проезжей части</t>
    </r>
    <r>
      <rPr>
        <sz val="10"/>
        <color theme="1" tint="4.9989318521683403E-2"/>
        <rFont val="Consolas"/>
        <family val="3"/>
        <charset val="204"/>
      </rPr>
      <t xml:space="preserve">
Включает:
-оформление разрешительных документов
-исполнительной документации
-справки о выполнении ТУ от собственников инфраструктуры
-закрытие ордера в администрации
</t>
    </r>
    <r>
      <rPr>
        <sz val="10"/>
        <color rgb="FF0000FF"/>
        <rFont val="Consolas"/>
        <family val="3"/>
        <charset val="204"/>
      </rPr>
      <t>-не применяется совместно с расценками,в которых входит благоустройство</t>
    </r>
  </si>
  <si>
    <r>
      <t xml:space="preserve">Расценки на восстановление покрытий </t>
    </r>
    <r>
      <rPr>
        <sz val="10"/>
        <color rgb="FF0000FF"/>
        <rFont val="Consolas"/>
        <family val="3"/>
        <charset val="204"/>
      </rPr>
      <t>на пешеходной части/тротуарах</t>
    </r>
    <r>
      <rPr>
        <sz val="10"/>
        <color theme="1" tint="4.9989318521683403E-2"/>
        <rFont val="Consolas"/>
        <family val="3"/>
        <charset val="204"/>
      </rPr>
      <t xml:space="preserve">
Включает:
-оформление разрешительных документов
-исполнительной документации
-справки о выполнении ТУ от собственников инфраструктуры
-закрытие ордера в администрации
</t>
    </r>
    <r>
      <rPr>
        <sz val="10"/>
        <color rgb="FF0000FF"/>
        <rFont val="Consolas"/>
        <family val="3"/>
        <charset val="204"/>
      </rPr>
      <t>-не применяется совместно с расценками,в которых входит благоустройство</t>
    </r>
  </si>
  <si>
    <r>
      <t xml:space="preserve">Расценки на восстановление покрытий из </t>
    </r>
    <r>
      <rPr>
        <sz val="10"/>
        <color rgb="FF0000FF"/>
        <rFont val="Consolas"/>
        <family val="3"/>
        <charset val="204"/>
      </rPr>
      <t>брусчатки/тротуарной плитки</t>
    </r>
    <r>
      <rPr>
        <sz val="10"/>
        <color theme="1" tint="4.9989318521683403E-2"/>
        <rFont val="Consolas"/>
        <family val="3"/>
        <charset val="204"/>
      </rPr>
      <t xml:space="preserve">
</t>
    </r>
    <r>
      <rPr>
        <sz val="10"/>
        <color rgb="FF0000FF"/>
        <rFont val="Consolas"/>
        <family val="3"/>
        <charset val="204"/>
      </rPr>
      <t xml:space="preserve">Термин "брусчатка" включает в себя термин "тротуарная плитка"
</t>
    </r>
    <r>
      <rPr>
        <sz val="10"/>
        <color theme="1" tint="4.9989318521683403E-2"/>
        <rFont val="Consolas"/>
        <family val="3"/>
        <charset val="204"/>
      </rPr>
      <t xml:space="preserve">
Включает:
-подбор плитки, аналогичной окружающему покрытию тротуара с её стоимостью
-оформление разрешительных документов
-исполнительной документации
-справки о выполнении ТУ от собственников инфраструктуры
-закрытие ордера в администрации
</t>
    </r>
    <r>
      <rPr>
        <sz val="10"/>
        <color rgb="FF0000FF"/>
        <rFont val="Consolas"/>
        <family val="3"/>
        <charset val="204"/>
      </rPr>
      <t>-не применяется совместно с расценками,в которых входит благоустройство</t>
    </r>
  </si>
  <si>
    <r>
      <t xml:space="preserve">Расценка на восстановление </t>
    </r>
    <r>
      <rPr>
        <sz val="10"/>
        <color rgb="FF0000FF"/>
        <rFont val="Consolas"/>
        <family val="3"/>
        <charset val="204"/>
      </rPr>
      <t>существующих газонных покрытий</t>
    </r>
    <r>
      <rPr>
        <sz val="10"/>
        <color theme="1" tint="4.9989318521683403E-2"/>
        <rFont val="Consolas"/>
        <family val="3"/>
        <charset val="204"/>
      </rPr>
      <t xml:space="preserve"> после проведения земляных работ
Включает:
-оформление разрешительных документов
-исполнительной документации
-справки о выполнении ТУ от собственников инфраструктуры (администрации,Горзеленхоза ти др.)
-закрытие ордера в администрации
</t>
    </r>
    <r>
      <rPr>
        <sz val="10"/>
        <color rgb="FF0000FF"/>
        <rFont val="Consolas"/>
        <family val="3"/>
        <charset val="204"/>
      </rPr>
      <t>-не применяется совместно с расценками,в которых входит благоустройство
-не применяется на территориях,не имеющих благоустройства ранее.Необходимость применения подтверждается ТУ от администрации или собственника территорий на этапе ПИР, с документальным подтверждением наличия газонного покрытия в месте проведения работ до начала работ подрядчика в интересах Заказчика
-не применяется по умолчанию на любой грунтовой поверхности, в городской черте и вне её,без предварительного согласования с Заказчиком</t>
    </r>
  </si>
  <si>
    <r>
      <t xml:space="preserve">
Расценка на подъём горловины (переустройство горловины)</t>
    </r>
    <r>
      <rPr>
        <sz val="10"/>
        <color rgb="FF0000FF"/>
        <rFont val="Consolas"/>
        <family val="3"/>
        <charset val="204"/>
      </rPr>
      <t xml:space="preserve"> существующего</t>
    </r>
    <r>
      <rPr>
        <sz val="10"/>
        <color theme="1" tint="4.9989318521683403E-2"/>
        <rFont val="Consolas"/>
        <family val="3"/>
        <charset val="204"/>
      </rPr>
      <t xml:space="preserve"> колодца
Включает в себя:
- получение необходимых согласований и  разрешительной документации,оформление исполнительной документации
</t>
    </r>
    <r>
      <rPr>
        <sz val="10"/>
        <color rgb="FF0000FF"/>
        <rFont val="Consolas"/>
        <family val="3"/>
        <charset val="204"/>
      </rPr>
      <t>- работы выполнять только с применением ж/б опорных колец, применение колец из другого материала,в т.ч. и кирпича ,запрещено.</t>
    </r>
    <r>
      <rPr>
        <sz val="10"/>
        <color theme="1" tint="4.9989318521683403E-2"/>
        <rFont val="Consolas"/>
        <family val="3"/>
        <charset val="204"/>
      </rPr>
      <t xml:space="preserve">
</t>
    </r>
    <r>
      <rPr>
        <sz val="10"/>
        <color rgb="FF0000FF"/>
        <rFont val="Consolas"/>
        <family val="3"/>
        <charset val="204"/>
      </rPr>
      <t>-не применяется на вновь устанавливаемых/перебиваемых колодцах</t>
    </r>
  </si>
  <si>
    <r>
      <t xml:space="preserve">Расценка на установку/замену опор
- включает приобретение других необходимых расходных материалов и  комплектующих, в.т.ч. оснастки для подвеса/переподвеса ВОК и МПК
- включает устройство заземления
- включает земельное дело, заказ и оплата топосъемки и согласований (при строительстве), заказ и оплата топосъемки исполнительной, оформление охранных зон линий связи, постановка на кадастровый учёт,сдача в надзорные органы
- включает оформление разрешительных документов,справки о выполнении ТУ от собственников инфраструктуры или территорий; исполнительной документации по МР
- включает маркировку опор согласно "МУ по маркировке опор на сетях связи БИС" 
- использование расценки 5.21.1 подразумевает размещение деревянных пропитанных опор на ж/б приставках (сваях). </t>
    </r>
    <r>
      <rPr>
        <sz val="10"/>
        <color rgb="FFFF0000"/>
        <rFont val="Consolas"/>
        <family val="3"/>
        <charset val="204"/>
      </rPr>
      <t>Установка деревянных опор просто в грунт запрещена.</t>
    </r>
    <r>
      <rPr>
        <sz val="10"/>
        <color theme="1"/>
        <rFont val="Consolas"/>
        <family val="3"/>
        <charset val="204"/>
      </rPr>
      <t xml:space="preserve">
- включает демонтаж при замене, </t>
    </r>
    <r>
      <rPr>
        <sz val="10"/>
        <color rgb="FF0000FF"/>
        <rFont val="Consolas"/>
        <family val="3"/>
        <charset val="204"/>
      </rPr>
      <t>не применяется совместно с расценкой 5.28</t>
    </r>
    <r>
      <rPr>
        <sz val="10"/>
        <color theme="1"/>
        <rFont val="Consolas"/>
        <family val="3"/>
        <charset val="204"/>
      </rPr>
      <t xml:space="preserve">
</t>
    </r>
    <r>
      <rPr>
        <sz val="10"/>
        <color rgb="FF0000FF"/>
        <rFont val="Consolas"/>
        <family val="3"/>
        <charset val="204"/>
      </rPr>
      <t>- применяется для расчета затрат при использовании опорных плит-"стаканов" типа ОП-2 и пр.При этом стоимость такой ОП и всех сопутствующих работ по её транспортировке и установке принимается равной стоимости установки жб опоры по расценке 5.21.2.Стоимость устанавливаемой в "стакан" опоры учитывается отдельно.</t>
    </r>
  </si>
  <si>
    <r>
      <t xml:space="preserve">Расценка на укрепление/восстановление существующих опор Заказчика
</t>
    </r>
    <r>
      <rPr>
        <sz val="10"/>
        <color rgb="FF0000FF"/>
        <rFont val="Consolas"/>
        <family val="3"/>
        <charset val="204"/>
      </rPr>
      <t>- применяется исключительно по отдельному решению Заказчика для восстановления/ремонта существующих опор</t>
    </r>
    <r>
      <rPr>
        <sz val="10"/>
        <color theme="1"/>
        <rFont val="Consolas"/>
        <family val="3"/>
        <charset val="204"/>
      </rPr>
      <t xml:space="preserve">
- включает выравнивание и перевязку деревянных опор на приставках/сваях со стоимостью материалов
- выравнивание любых опор
- установка/замена приставок/подпор/укосин со стоимостью материалов
- установка/замена оттяжек со стоимостью материалов</t>
    </r>
  </si>
  <si>
    <t>Применяется исключительно по отдельному решению Заказчика для объектов ВКЛС на опорах сторонних организаций.
- Применяется только при наличии требования по экспертизе опор,отраженного в ТУ от владельца сооружений.</t>
  </si>
  <si>
    <t>ПИР, СМР, включая стоимость материалов (полиэтиленовые трубы диаметром не менее 63 мм, комплектующие), организацию вывода из кабельного колодца, герметизация, восстановление асфальтобетонных покрытий проезжей части, тротуаров и работ по благоустройству, оформление разрешительных документов и исполнительной документации (в том числе с нанесением на городской планшет исполнительной сьемки). Заказ и оплата топосъемок.</t>
  </si>
  <si>
    <r>
      <t xml:space="preserve">Основная расценка для строительство кабельных вводов в здания от кабельных колодцев или опор в фундаменты зданий </t>
    </r>
    <r>
      <rPr>
        <sz val="10"/>
        <color rgb="FF0000FF"/>
        <rFont val="Consolas"/>
        <family val="3"/>
        <charset val="204"/>
      </rPr>
      <t>(подземный ввод)</t>
    </r>
    <r>
      <rPr>
        <sz val="10"/>
        <color theme="1" tint="4.9989318521683403E-2"/>
        <rFont val="Consolas"/>
        <family val="3"/>
        <charset val="204"/>
      </rPr>
      <t xml:space="preserve">
-включает прокладку одной трубы </t>
    </r>
    <r>
      <rPr>
        <sz val="10"/>
        <color rgb="FF0000FF"/>
        <rFont val="Consolas"/>
        <family val="3"/>
        <charset val="204"/>
      </rPr>
      <t xml:space="preserve">п/э 63 мм или п/э,а/ц 100 мм </t>
    </r>
    <r>
      <rPr>
        <sz val="10"/>
        <color theme="1" tint="4.9989318521683403E-2"/>
        <rFont val="Consolas"/>
        <family val="3"/>
        <charset val="204"/>
      </rPr>
      <t xml:space="preserve">от ближайшей точки трассы кабельной канализации до фасада здания с пробивкой (сверлением) и заделкой отверстий в стене или фундаменте здания 
- включает герметизацию проложенного канала с двух сторон (в колодце и подвале)
- включает восстановление отделки фасада и фундамента
- оформление разрешительных документов, заказ и оплата топосъемки при строительстве, заказ и оплата топосъемки исполнительной;оформление охранных зон линий связи,  постановка на кадастровый учёт, сдача в надзорные органы
- включает справки о выполнении ТУ от собственников инфраструктуры
- включает оформление исполнительной документации по МР
</t>
    </r>
    <r>
      <rPr>
        <sz val="10"/>
        <color rgb="FF0000FF"/>
        <rFont val="Consolas"/>
        <family val="3"/>
        <charset val="204"/>
      </rPr>
      <t>- не включает стоимость установки колодцев</t>
    </r>
    <r>
      <rPr>
        <sz val="10"/>
        <color theme="1" tint="4.9989318521683403E-2"/>
        <rFont val="Consolas"/>
        <family val="3"/>
        <charset val="204"/>
      </rPr>
      <t xml:space="preserve">
</t>
    </r>
    <r>
      <rPr>
        <sz val="10"/>
        <color rgb="FF0000FF"/>
        <rFont val="Consolas"/>
        <family val="3"/>
        <charset val="204"/>
      </rPr>
      <t>- протяженность ввода свыше 30 м учитывается по расценке 5.0.1
- применяется понижающий коэффициент с шагом 0,1 на каждые "минус 3 метра" кабельного вывода от величины в 30 метров.Например для вывода в 27 метров это будет (1- 0,1) от расценки=0,9 от расценки...Для вывода в 12 метров это будет (1-0,1х6)= 0,4 от расценки.</t>
    </r>
    <r>
      <rPr>
        <sz val="10"/>
        <color theme="1" tint="4.9989318521683403E-2"/>
        <rFont val="Consolas"/>
        <family val="3"/>
        <charset val="204"/>
      </rPr>
      <t xml:space="preserve">
</t>
    </r>
    <r>
      <rPr>
        <sz val="10"/>
        <color rgb="FF0000FF"/>
        <rFont val="Consolas"/>
        <family val="3"/>
        <charset val="204"/>
      </rPr>
      <t>Позиция применяется с использованием шагового коэффициента 0,1 от 30 м (минимальный участок 3 м)
Не применяется совместно с расценкой 5.25; 5.26</t>
    </r>
  </si>
  <si>
    <r>
      <t xml:space="preserve">Основная расценка для строительство кабельных выводов на здания/опоры от кабельных колодцев </t>
    </r>
    <r>
      <rPr>
        <sz val="10"/>
        <color rgb="FF0000FF"/>
        <rFont val="Consolas"/>
        <family val="3"/>
        <charset val="204"/>
      </rPr>
      <t>(внешние ввода)</t>
    </r>
    <r>
      <rPr>
        <sz val="10"/>
        <color theme="1" tint="4.9989318521683403E-2"/>
        <rFont val="Consolas"/>
        <family val="3"/>
        <charset val="204"/>
      </rPr>
      <t xml:space="preserve">
-включает прокладку одной трубы </t>
    </r>
    <r>
      <rPr>
        <sz val="10"/>
        <color rgb="FF0000FF"/>
        <rFont val="Consolas"/>
        <family val="3"/>
        <charset val="204"/>
      </rPr>
      <t>п/э 63 мм или п/э,а/ц 100 мм</t>
    </r>
    <r>
      <rPr>
        <sz val="10"/>
        <color theme="1" tint="4.9989318521683403E-2"/>
        <rFont val="Consolas"/>
        <family val="3"/>
        <charset val="204"/>
      </rPr>
      <t xml:space="preserve"> от ближайшей точки трассы кабельной канализации до фасада здания/до опоры с  выходом на фасад здания (вывод на стену здания)/на опору
- включает герметизацию проложенного канала с двух сторон (в колодце и подвале)
- включает устройство ввода на стену или опору ("гусак")
- включает восстановление отделки фасада и фундамента
- оформление разрешительных документов, заказ и оплата топосъемки при строительстве, заказ и оплата топосъемки исполнительной;оформление охранных зон линий связи,  постановка на кадастровый учёт, сдача в надзорные органы
- включает справки о выполнении ТУ от собственников инфраструктуры
- включает оформление исполнительной документации по МР
</t>
    </r>
    <r>
      <rPr>
        <sz val="10"/>
        <color rgb="FF0000FF"/>
        <rFont val="Consolas"/>
        <family val="3"/>
        <charset val="204"/>
      </rPr>
      <t xml:space="preserve">- не включает стоимость установки колодцев
- протяженность ввода свыше 30 м учитывается по расценке 5.0.1
- применяется понижающий коэффициент с шагом 0,1 на каждые "минус 3 метра" кабельного вывода от величины в 30 метров.Например для вывода в 27 метров это будет (1- 0,1) от расценки=0,9 от расценки...Для вывода в 12 метров это будет (1-0,1х6)= 0,4 от расценки.
</t>
    </r>
    <r>
      <rPr>
        <sz val="10"/>
        <color theme="1" tint="4.9989318521683403E-2"/>
        <rFont val="Consolas"/>
        <family val="3"/>
        <charset val="204"/>
      </rPr>
      <t xml:space="preserve">
</t>
    </r>
    <r>
      <rPr>
        <sz val="10"/>
        <color rgb="FF0000FF"/>
        <rFont val="Consolas"/>
        <family val="3"/>
        <charset val="204"/>
      </rPr>
      <t>Позиция применяется с использованием шагового коэффициента 0,1 от 30 м (минимальный участок 3 м)
Не применяется совместно с расценкой 5.24; 5.26</t>
    </r>
  </si>
  <si>
    <t>Расценка для точечной организации ввода на стену/опору из кабельной трассы
- применяется там,где нужно сделать ввод/вывод,без строительства канала или для организации ввода/вывода на месте недействующего/неисправного ввода/вывода
- применяется исключительно по отдельному решению Заказчика, в том числе и для восстановления/ремонта существующих вводов/выводов,выдается в Заказе отдельно.</t>
  </si>
  <si>
    <r>
      <t xml:space="preserve">Расценка на монтаж трубостойки для воздушно-кабельных переходов
</t>
    </r>
    <r>
      <rPr>
        <sz val="10"/>
        <color rgb="FF0000FF"/>
        <rFont val="Consolas"/>
        <family val="3"/>
        <charset val="204"/>
      </rPr>
      <t>- не применяется совместно с расценками 3.3.х,4.4.х и 4.9.х.</t>
    </r>
    <r>
      <rPr>
        <sz val="10"/>
        <color theme="1"/>
        <rFont val="Consolas"/>
        <family val="3"/>
        <charset val="204"/>
      </rPr>
      <t xml:space="preserve">
- используется для точечной установки трубостойки/мачты</t>
    </r>
  </si>
  <si>
    <r>
      <t xml:space="preserve">Расценки на демонтаж опор
- включая демонтаж опор на приставках (сваях), с одной подпорой, опора с двумя подпорами, опора с приставкой, подпоры, укосины и т.п.При этом такая комбинированная опора счистается при демонтаже как одна позиция
</t>
    </r>
    <r>
      <rPr>
        <sz val="10"/>
        <color rgb="FF0000FF"/>
        <rFont val="Consolas"/>
        <family val="3"/>
        <charset val="204"/>
      </rPr>
      <t>- включает восстановление благоустройства после демонтажа,засыпка ям/провалов/котлованов,разравниваение грунта,восстановление зелёных зон, проезжей части и пешеходных дорожек, уборка строительного мусор</t>
    </r>
    <r>
      <rPr>
        <sz val="10"/>
        <color theme="1" tint="4.9989318521683403E-2"/>
        <rFont val="Consolas"/>
        <family val="3"/>
        <charset val="204"/>
      </rPr>
      <t>а
- применяется по отдельному заказу</t>
    </r>
  </si>
  <si>
    <t xml:space="preserve">Расценка на уличный шкаф (распределительный, без активного оборудования)
- Оформление разрешительных документов на размещение,справки о выполнении ТУ от собственников инфраструктуры. </t>
  </si>
  <si>
    <r>
      <t xml:space="preserve">Расценка на </t>
    </r>
    <r>
      <rPr>
        <sz val="10"/>
        <color rgb="FF0000FF"/>
        <rFont val="Consolas"/>
        <family val="3"/>
        <charset val="204"/>
      </rPr>
      <t xml:space="preserve">уличный </t>
    </r>
    <r>
      <rPr>
        <sz val="10"/>
        <color theme="1" tint="4.9989318521683403E-2"/>
        <rFont val="Consolas"/>
        <family val="3"/>
        <charset val="204"/>
      </rPr>
      <t xml:space="preserve">термошкаф (климатический)
- включает землеотвод
- включает все виды согласований,в т.ч. и с собствениками помещений,зданий, территорий
- включает заказ и оплата топосъемки (при необходимости) для строительства,исполнительной топосъемки; постановка на кадастровый учёт; оформление разрешительных документов; справки о выполнении ТУ от собственников инфраструктуры;оформление исполнительной документации по МР
- включает оформление комплекта документов на электроснабжение
- включает благоустройство в месте работ (выравнивание поверхностей, восстановление асфальтобетонных покрытий, газонов,тротуарных покрытий)
- включает восстановление отделки поверхностей стен зданий при размещении шкафа возле них
- включает ПНР
- если длина кабеля электропитания превышает </t>
    </r>
    <r>
      <rPr>
        <sz val="10"/>
        <color rgb="FF0000FF"/>
        <rFont val="Consolas"/>
        <family val="3"/>
        <charset val="204"/>
      </rPr>
      <t>50 м</t>
    </r>
    <r>
      <rPr>
        <sz val="10"/>
        <color theme="1" tint="4.9989318521683403E-2"/>
        <rFont val="Consolas"/>
        <family val="3"/>
        <charset val="204"/>
      </rPr>
      <t xml:space="preserve">, то дополнительная длина кабеля учитывается по расценкам </t>
    </r>
    <r>
      <rPr>
        <sz val="10"/>
        <color rgb="FF0000FF"/>
        <rFont val="Consolas"/>
        <family val="3"/>
        <charset val="204"/>
      </rPr>
      <t xml:space="preserve">6.116-6.118 </t>
    </r>
  </si>
  <si>
    <r>
      <t xml:space="preserve">Расценка на </t>
    </r>
    <r>
      <rPr>
        <sz val="10"/>
        <color rgb="FF0000FF"/>
        <rFont val="Consolas"/>
        <family val="3"/>
        <charset val="204"/>
      </rPr>
      <t xml:space="preserve">внутренний </t>
    </r>
    <r>
      <rPr>
        <sz val="10"/>
        <color theme="1" tint="4.9989318521683403E-2"/>
        <rFont val="Consolas"/>
        <family val="3"/>
        <charset val="204"/>
      </rPr>
      <t xml:space="preserve">термошкаф (климатический)
- включает все виды согласований,в т.ч. и с собствениками помещений,зданий, территорий
- оформление разрешительных документов; справки о выполнении ТУ от собственников инфраструктуры;оформление исполнительной документации по МР
- включает оформление комплекта документов на электроснабжение
- включает ПНР
- включает восстановление отделки поверхностей стен зданий и помещений при размещении шкафа возле них
- если длина кабеля электропитания превышает </t>
    </r>
    <r>
      <rPr>
        <sz val="10"/>
        <color rgb="FF0000FF"/>
        <rFont val="Consolas"/>
        <family val="3"/>
        <charset val="204"/>
      </rPr>
      <t>50 м</t>
    </r>
    <r>
      <rPr>
        <sz val="10"/>
        <color theme="1" tint="4.9989318521683403E-2"/>
        <rFont val="Consolas"/>
        <family val="3"/>
        <charset val="204"/>
      </rPr>
      <t xml:space="preserve">, то дополнительная длина кабеля учитывается по расценкам </t>
    </r>
    <r>
      <rPr>
        <sz val="10"/>
        <color rgb="FF0000FF"/>
        <rFont val="Consolas"/>
        <family val="3"/>
        <charset val="204"/>
      </rPr>
      <t xml:space="preserve">6.116-6.118 </t>
    </r>
  </si>
  <si>
    <r>
      <t xml:space="preserve">Расценка на </t>
    </r>
    <r>
      <rPr>
        <sz val="10"/>
        <color rgb="FF0000FF"/>
        <rFont val="Consolas"/>
        <family val="3"/>
        <charset val="204"/>
      </rPr>
      <t>уличный навесной</t>
    </r>
    <r>
      <rPr>
        <sz val="10"/>
        <color theme="1"/>
        <rFont val="Consolas"/>
        <family val="3"/>
        <charset val="204"/>
      </rPr>
      <t xml:space="preserve"> термошкаф (климатический)
- включает землеотвод
- включает все виды согласований,в т.ч. и с собствениками сооружений,опор,помещений,зданий, территорий
- включает заказ и оплата топосъемки (при необходимости) для строительства,исполнительной топосъемки; постановка на кадастровый учёт; оформление разрешительных документов; справки о выполнении ТУ от собственников инфраструктуры;оформление исполнительной документации по МР
- включает оформление комплекста документов на электроснабжение
- включает благоустройство в месте работ (выравнивание поверхностей, восстановление асфальтобетонных покрытий, газонов,тротуарных покрытий)
- включает восстановление отделки поверхностей стен зданий/опор при размещении шкафа на них
- включает ПНР
- если длина кабеля электропитания превышает</t>
    </r>
    <r>
      <rPr>
        <sz val="10"/>
        <color rgb="FF0000FF"/>
        <rFont val="Consolas"/>
        <family val="3"/>
        <charset val="204"/>
      </rPr>
      <t xml:space="preserve"> 20 м</t>
    </r>
    <r>
      <rPr>
        <sz val="10"/>
        <color theme="1"/>
        <rFont val="Consolas"/>
        <family val="3"/>
        <charset val="204"/>
      </rPr>
      <t xml:space="preserve">, то дополнительная длина кабеля учитывается </t>
    </r>
    <r>
      <rPr>
        <sz val="10"/>
        <color rgb="FF0000FF"/>
        <rFont val="Consolas"/>
        <family val="3"/>
        <charset val="204"/>
      </rPr>
      <t>по расценкам 6.116-6.118</t>
    </r>
    <r>
      <rPr>
        <sz val="10"/>
        <color theme="1"/>
        <rFont val="Consolas"/>
        <family val="3"/>
        <charset val="204"/>
      </rPr>
      <t xml:space="preserve"> </t>
    </r>
  </si>
  <si>
    <r>
      <t xml:space="preserve">Расценка на </t>
    </r>
    <r>
      <rPr>
        <sz val="10"/>
        <color rgb="FF0000FF"/>
        <rFont val="Consolas"/>
        <family val="3"/>
        <charset val="204"/>
      </rPr>
      <t>уличный</t>
    </r>
    <r>
      <rPr>
        <sz val="10"/>
        <color theme="1"/>
        <rFont val="Consolas"/>
        <family val="3"/>
        <charset val="204"/>
      </rPr>
      <t xml:space="preserve"> контейнер (под КУС и т.п.)
- включает землеотвод
- включает все виды согласований,в т.ч. и с собствениками помещений,зданий, территорий
- включает заказ и оплата топосъемки (при необходимости) для строительства,исполнительной топосъемки; постановка на кадастровый учёт; оформление разрешительных документов; справки о выполнении ТУ от собственников инфраструктуры;оформление исполнительной документации по МР
- включает оформление комплекта документов на электроснабжение
- включает благоустройство в месте работ (выравнивание поверхностей, восстановление асфальтобетонных покрытий, газонов,тротуарных покрытий)
- включает ПНР
- если длина кабеля электропитания превышает </t>
    </r>
    <r>
      <rPr>
        <sz val="10"/>
        <color rgb="FF0000FF"/>
        <rFont val="Consolas"/>
        <family val="3"/>
        <charset val="204"/>
      </rPr>
      <t>50 м</t>
    </r>
    <r>
      <rPr>
        <sz val="10"/>
        <color theme="1"/>
        <rFont val="Consolas"/>
        <family val="3"/>
        <charset val="204"/>
      </rPr>
      <t xml:space="preserve">, то дополнительная длина кабеля учитывается по расценкам </t>
    </r>
    <r>
      <rPr>
        <sz val="10"/>
        <color rgb="FF0000FF"/>
        <rFont val="Consolas"/>
        <family val="3"/>
        <charset val="204"/>
      </rPr>
      <t xml:space="preserve">6.116-6.118 </t>
    </r>
  </si>
  <si>
    <r>
      <t xml:space="preserve">Расценка на </t>
    </r>
    <r>
      <rPr>
        <sz val="10"/>
        <color rgb="FF0000FF"/>
        <rFont val="Consolas"/>
        <family val="3"/>
        <charset val="204"/>
      </rPr>
      <t xml:space="preserve">уличное </t>
    </r>
    <r>
      <rPr>
        <sz val="10"/>
        <color theme="1"/>
        <rFont val="Consolas"/>
        <family val="3"/>
        <charset val="204"/>
      </rPr>
      <t>ограждение
- применяется по отдельному Заказу
- для организации огражднией контейнеров, шкафов,мачт и пр. сооружений связи на усмотрение Заказчика</t>
    </r>
  </si>
  <si>
    <t>Расценка на прокладку/доумощнение МПК 10х2,25х2,50х2
- применяется на существующих сетях при модернизации ДРС (доумощнении ёмкости ДРС)
- применяется при строительстве "комплексных новостроек" для расширения ДРС под доп. услуги, где увеличение ёмскости ДРС не учтывается стоимостью "порта"
- применяется при строительстве отдельной ДРС для реализации проекта "ключ" на объектах Комплексных новостроек
- применяется при строительстве стандартной застройки и новостроек по отдельному решению и согласованию Заказчика для размещения дополнительных ШАН/КБ/КЯ/ЯР/КРТ на этажах при определенных тех. решениях на Объекте,приводящей к превышению расчётной ёмкости ДРС по ТЗ (для ДРС , не учтённой стоимостью "порта")
- применяется по отдельному Заказу от Заказчика на любых других объектах, с целью точечной прокладки МПК в интересах Заказчика
- включает восстановление отделки поверхностей; прокладку и монтаж кабеля по трубостойкам; бирки и наклейки, расшивку кабелей на патч-панели/плинты с двух сторон; монтаж муфт распределительных,монтаж ШАН/КБ/КЯ/ЯР/КРТ, укомплектованных патч-панелями/плинтами (со стоимостью ШАН/КБ/КЯ/ЯР/КРТ; патч-панелей/плинтов),монтаж проходных коробок под распределительные муфты. Со стоимостью всех материалов, включая прочие затраты
- включает исполнительную документацию по МР</t>
  </si>
  <si>
    <r>
      <t xml:space="preserve">Расценка на слаботочные стояки в домах (обычные ПВХ)
- применяется при строительстве слаботочных стояков (больше 30 % на подъезд) под размещение кабелей ДРС и АЛ сетей  доступа Заказчика
- должны быть трубы ПВХ </t>
    </r>
    <r>
      <rPr>
        <sz val="10"/>
        <color rgb="FF0000FF"/>
        <rFont val="Consolas"/>
        <family val="3"/>
        <charset val="204"/>
      </rPr>
      <t>50 мм.</t>
    </r>
    <r>
      <rPr>
        <sz val="10"/>
        <color theme="1" tint="4.9989318521683403E-2"/>
        <rFont val="Consolas"/>
        <family val="3"/>
        <charset val="204"/>
      </rPr>
      <t>(светло-серые или белые). Трубы меньшего диаметра только по отдельному согласованию с Заказчиком
- включает комплекс работ по восстановлению отделки поверхностей после производства работ,заделку отверстий, покраску восстановленных участков под цвет основных поверхностей помещения/подъезда
- включает грунтовку и покраску установленных стояков в определённый цвет, если это является условием Застройщика/УК/ТСЖ</t>
    </r>
  </si>
  <si>
    <r>
      <t xml:space="preserve">Расценка на слаботочные стояки в домах </t>
    </r>
    <r>
      <rPr>
        <sz val="10"/>
        <color rgb="FF0000FF"/>
        <rFont val="Consolas"/>
        <family val="3"/>
        <charset val="204"/>
      </rPr>
      <t>(металлические)</t>
    </r>
    <r>
      <rPr>
        <sz val="10"/>
        <rFont val="Consolas"/>
        <family val="3"/>
        <charset val="204"/>
      </rPr>
      <t xml:space="preserve">
- применяется в виде исключения при строительстве слаботочных стояков под СКС/ЛВС,размещение кабелей ДРС и АЛ сетей  доступа Заказчика по отдельному согласованию Заказчика
- трубы меньшего диаметра только по отдельному согласованию с Заказчиком
- включает комплекс работ по восстановлению отделки поверхностей после производства работ,заделку отверстий, покраску восстановленных участков под цвет основных поверхностей помещения/подъезда
- включает обязательную покраску установленных стояков в определённый цвет (с предварительной грунтовкой)</t>
    </r>
  </si>
  <si>
    <r>
      <t xml:space="preserve">Расценка на сверление перекрытий
- применяется только для сверления перекрытий для точечных (разовых) установок стояков и пр. (1-2 стояка на подъезд,если больше,то все стояки считаются по по расценке 6.4.)
- включает установку трубы ПВХ 50 мм (слаботочный стояк)
</t>
    </r>
    <r>
      <rPr>
        <sz val="10"/>
        <color rgb="FF0000FF"/>
        <rFont val="Consolas"/>
        <family val="3"/>
        <charset val="204"/>
      </rPr>
      <t>- не применяется совместно с расценкой 6.4.</t>
    </r>
  </si>
  <si>
    <r>
      <t xml:space="preserve">Расценка на строительство аналогового "классического"  КТВ
</t>
    </r>
    <r>
      <rPr>
        <sz val="10"/>
        <color rgb="FF0000FF"/>
        <rFont val="Consolas"/>
        <family val="3"/>
        <charset val="204"/>
      </rPr>
      <t>В данной расценке единица измрения "1 дх" означает 1 точку подключения КТВ. Количество точек подключения определяется Заказчиком и не обязано совпадать с количеством дх на Объекте.</t>
    </r>
    <r>
      <rPr>
        <sz val="10"/>
        <color rgb="FF000000"/>
        <rFont val="Consolas"/>
        <family val="3"/>
        <charset val="204"/>
      </rPr>
      <t xml:space="preserve">
- включает строительство ДРС КТВ с прокладкой RG
- включает монтаж АК, делителей, ответвителей, нагрузок, шнуров
- включает монтаж активного оборудования (оптические приемники), прочих затрат;
- включает оформление разрешительных документов (включая все согласования) необходимых при строительстве ДРС КТВ
- включает оформление исполнительной документации по МР
</t>
    </r>
    <r>
      <rPr>
        <sz val="10"/>
        <color rgb="FF0000FF"/>
        <rFont val="Consolas"/>
        <family val="3"/>
        <charset val="204"/>
      </rPr>
      <t>- не включает  стоимость оптического приемника КТВ
- не включает стоимость строительства АГС КТВ (АГС по расценке 6.44 или 6.45)
- не применяется совместно с расценками 6.58 и 6.59</t>
    </r>
  </si>
  <si>
    <t>Расценка на сварку ОВ при монтаже/замене ОРК в существующих сетях GPON
- может применяться как отдельно,так и в связке с расценкой 6.9</t>
  </si>
  <si>
    <t>Расценка на монтаж/замену ОРК в существующих сетях GPON
- может применяться как отдельно,так и в связке с расценкой 6.10</t>
  </si>
  <si>
    <t>Расценка на монтаж/замену сплиттера 2-го каскада (УСМ) в существующих сетях GPON (ДРС в МКД, распределительной сети коттеджной застройки)
- применяется для сплиттеров с любым коэффициентов сплиттирования</t>
  </si>
  <si>
    <t>Расценка на монтаж/замену ОРШ в существующих сетях GPON (ДРС в МКД, магистральной/распределительной сети коттеджной застройки)
- включает все работы по переносу существущих сетей Заказчика в устанавливаемый ОРШ
- включает стоимость крепежных элементов ОРШ и УПМК для ВОК (при необходимости монтажа/замены)
- включает стомость имиджевых наклеек на ОРШ
- включет обязательное требование по согласованию применяемого ОРШ с Заказчиком до начала работ
- включает согласование работ с владельцем сооружений (опор, помещений и т.д.), в т.ч. и УК/ТСЖ/собственниками жилых помещений в МКД</t>
  </si>
  <si>
    <t>Расценка на доумощнение (модернизацию) ДРС GPON в МКД, двухкаскадной сети GPON в коттеджной застройке
- применяется как для сплиттеров 1-го каскада, так и для сплиттеров 2-го каскада</t>
  </si>
  <si>
    <r>
      <t xml:space="preserve">Расценки на прокладку трубок,гофротрубок и кабельных каналов/коробов из ПВХ </t>
    </r>
    <r>
      <rPr>
        <sz val="10"/>
        <color rgb="FF0000FF"/>
        <rFont val="Consolas"/>
        <family val="3"/>
        <charset val="204"/>
      </rPr>
      <t>различного диаметра и размера</t>
    </r>
    <r>
      <rPr>
        <sz val="10"/>
        <color theme="1"/>
        <rFont val="Consolas"/>
        <family val="3"/>
        <charset val="204"/>
      </rPr>
      <t xml:space="preserve">
- включает полный комплекс работ , в т.ч. и заделку отверстий с восстановлением поверхностей и их отделки
- включает ,в т.ч., и закладные каналы типа Уникор</t>
    </r>
  </si>
  <si>
    <r>
      <t xml:space="preserve">Расценки на прокладку металлических лотков размером </t>
    </r>
    <r>
      <rPr>
        <sz val="10"/>
        <color rgb="FF0000FF"/>
        <rFont val="Consolas"/>
        <family val="3"/>
        <charset val="204"/>
      </rPr>
      <t>до 400 мм</t>
    </r>
    <r>
      <rPr>
        <sz val="10"/>
        <rFont val="Consolas"/>
        <family val="3"/>
        <charset val="204"/>
      </rPr>
      <t xml:space="preserve">
- включает полный комплекс работ , в т.ч. и заделку отверстий с восстановлением поверхностей и их отделки</t>
    </r>
  </si>
  <si>
    <r>
      <t xml:space="preserve">Расценки на прокладку металлического металлорукава диаметром </t>
    </r>
    <r>
      <rPr>
        <sz val="10"/>
        <color rgb="FF0000FF"/>
        <rFont val="Consolas"/>
        <family val="3"/>
        <charset val="204"/>
      </rPr>
      <t>до 38 мм</t>
    </r>
    <r>
      <rPr>
        <sz val="10"/>
        <color theme="1"/>
        <rFont val="Consolas"/>
        <family val="3"/>
        <charset val="204"/>
      </rPr>
      <t xml:space="preserve">
- включает полный комплекс работ , в т.ч. и заделку отверстий с восстановлением поверхностей и их отделки
- включает устройство  отверстий в стенах с заделкой (с установкой гильз)
- стоимость металлорукава учитывает разновидности: антивандальный с замком/с уплотнителем/из нержавеющей стали/из алюминиевой ленты/из алюминиевой ленты с уплотителем/металлорукав в ПВХ изоляции (негорючий/с протяжкой/морозостойкий/маслостойкий/термостойкий). Тип и разновидность применяемого металлорукава определяются с согласованием у Заказчика на этапе ПИР,с указанием условий эксплуатации, требований и условий согласования со стороны третьих лиц и организаций.
- включает маркировку имиджевыми идентификационными наклейками
- оформление исполнительной документации по МР</t>
    </r>
  </si>
  <si>
    <r>
      <t xml:space="preserve">Расценки на  оптический патч-корд длиной </t>
    </r>
    <r>
      <rPr>
        <sz val="10"/>
        <color rgb="FF0000FF"/>
        <rFont val="Consolas"/>
        <family val="3"/>
        <charset val="204"/>
      </rPr>
      <t>до 3 м; от 3 до 10 м., от 10 до 50 м.</t>
    </r>
    <r>
      <rPr>
        <sz val="10"/>
        <color theme="1" tint="4.9989318521683403E-2"/>
        <rFont val="Consolas"/>
        <family val="3"/>
        <charset val="204"/>
      </rPr>
      <t xml:space="preserve">
- включает duplex/simpex, любой разъем, любая полировка</t>
    </r>
  </si>
  <si>
    <r>
      <t xml:space="preserve">Расценка на сварку/переварку одного оптического волокна(ОВ) в ВОК
</t>
    </r>
    <r>
      <rPr>
        <sz val="10"/>
        <color rgb="FF0000FF"/>
        <rFont val="Consolas"/>
        <family val="3"/>
        <charset val="204"/>
      </rPr>
      <t>- не применимо совместно с расценками всех разделов ,в которых уже учтена сварка ОВ</t>
    </r>
    <r>
      <rPr>
        <sz val="10"/>
        <color theme="1" tint="4.9989318521683403E-2"/>
        <rFont val="Consolas"/>
        <family val="3"/>
        <charset val="204"/>
      </rPr>
      <t xml:space="preserve">
- включает получение и оплату всех необходимых разрешений, согласований на право доступа и проведения работ
- включает исполнительную документацию по МР
- данные работы выполняются по отдельному Заказу со стороны Заказчика</t>
    </r>
  </si>
  <si>
    <r>
      <t xml:space="preserve">Расценки на монтаж шкафов/стоек различных типоразмеров (емкость в юнитах </t>
    </r>
    <r>
      <rPr>
        <sz val="10"/>
        <color rgb="FF0000FF"/>
        <rFont val="Consolas"/>
        <family val="3"/>
        <charset val="204"/>
      </rPr>
      <t>от 9U до 48U</t>
    </r>
    <r>
      <rPr>
        <sz val="10"/>
        <color theme="1" tint="4.9989318521683403E-2"/>
        <rFont val="Consolas"/>
        <family val="3"/>
        <charset val="204"/>
      </rPr>
      <t xml:space="preserve">)
- монтаж укомплектованного шкафа (комплектация по ТЗ в договоре)
- подключение к электропитанию и заземлению (если </t>
    </r>
    <r>
      <rPr>
        <sz val="10"/>
        <color rgb="FF0000FF"/>
        <rFont val="Consolas"/>
        <family val="3"/>
        <charset val="204"/>
      </rPr>
      <t>более 20 м.</t>
    </r>
    <r>
      <rPr>
        <sz val="10"/>
        <color theme="1" tint="4.9989318521683403E-2"/>
        <rFont val="Consolas"/>
        <family val="3"/>
        <charset val="204"/>
      </rPr>
      <t xml:space="preserve">, дополнительная длина учитывается по расценкам </t>
    </r>
    <r>
      <rPr>
        <sz val="10"/>
        <color rgb="FF0000FF"/>
        <rFont val="Consolas"/>
        <family val="3"/>
        <charset val="204"/>
      </rPr>
      <t>6.117-6.118</t>
    </r>
    <r>
      <rPr>
        <sz val="10"/>
        <color theme="1" tint="4.9989318521683403E-2"/>
        <rFont val="Consolas"/>
        <family val="3"/>
        <charset val="204"/>
      </rPr>
      <t xml:space="preserve"> )
- включает имиджевые наклейки и пр. элементы по комплектации в ТЗ
- включает оформление разрешительных документов на размещение
- включает справки о выполнении ТУ от собственников инфраструктуры (при необходимости)
</t>
    </r>
    <r>
      <rPr>
        <sz val="10"/>
        <color rgb="FF0000FF"/>
        <rFont val="Consolas"/>
        <family val="3"/>
        <charset val="204"/>
      </rPr>
      <t xml:space="preserve">- не включает стоимость активного оборудования </t>
    </r>
  </si>
  <si>
    <r>
      <rPr>
        <sz val="10"/>
        <color theme="1" tint="4.9989318521683403E-2"/>
        <rFont val="Consolas"/>
        <family val="3"/>
        <charset val="204"/>
      </rPr>
      <t>Монтаж шкафа/стойки,как в расценке 6.25,</t>
    </r>
    <r>
      <rPr>
        <sz val="10"/>
        <color rgb="FF0000FF"/>
        <rFont val="Consolas"/>
        <family val="3"/>
        <charset val="204"/>
      </rPr>
      <t>но без стоимости шкафа (для давальческого варианта)</t>
    </r>
    <r>
      <rPr>
        <sz val="10"/>
        <color theme="1" tint="4.9989318521683403E-2"/>
        <rFont val="Consolas"/>
        <family val="3"/>
        <charset val="204"/>
      </rPr>
      <t xml:space="preserve">
- стоимость силового кабеля, превышающего </t>
    </r>
    <r>
      <rPr>
        <sz val="10"/>
        <color rgb="FF0000FF"/>
        <rFont val="Consolas"/>
        <family val="3"/>
        <charset val="204"/>
      </rPr>
      <t>20 м</t>
    </r>
    <r>
      <rPr>
        <sz val="10"/>
        <color theme="1" tint="4.9989318521683403E-2"/>
        <rFont val="Consolas"/>
        <family val="3"/>
        <charset val="204"/>
      </rPr>
      <t xml:space="preserve">, учитывать по расценкам </t>
    </r>
    <r>
      <rPr>
        <sz val="10"/>
        <color rgb="FF0000FF"/>
        <rFont val="Consolas"/>
        <family val="3"/>
        <charset val="204"/>
      </rPr>
      <t xml:space="preserve">6.117-6.118 </t>
    </r>
    <r>
      <rPr>
        <sz val="10"/>
        <color theme="1" tint="4.9989318521683403E-2"/>
        <rFont val="Consolas"/>
        <family val="3"/>
        <charset val="204"/>
      </rPr>
      <t xml:space="preserve">  
- включает имиджевые наклейки и бирки на кабель
- включает оформление разрешительных документов на размещение
- включает справки о выполнении ТУ от собственников инфраструктуры (при необходимости</t>
    </r>
    <r>
      <rPr>
        <b/>
        <sz val="10"/>
        <color theme="1" tint="4.9989318521683403E-2"/>
        <rFont val="Consolas"/>
        <family val="3"/>
        <charset val="204"/>
      </rPr>
      <t>)</t>
    </r>
  </si>
  <si>
    <r>
      <t xml:space="preserve">Расценка на монтаж оптических кроссовых шкафов (блочных,стоечных,настенных)
- применяется для оптических шкафов любой ёмкости
- включает восстановление поверхностей и их отделки после монтажа;
</t>
    </r>
    <r>
      <rPr>
        <sz val="10"/>
        <color rgb="FF0000FF"/>
        <rFont val="Consolas"/>
        <family val="3"/>
        <charset val="204"/>
      </rPr>
      <t>- без учёта стоимости сварки ОВ вводимого/оконечиваемого ВОК (данные работы учтены расценками на прокладку ВОК)</t>
    </r>
  </si>
  <si>
    <t>Расценки на монтаж малогабаритных шкафов/ящиков (для любых проектов)
- монтаж укомплектованного шкафа
- включает имиджевые наклейки и пр. элементы по комплектации в ТЗ (в т.ч. и по ТЗ основного Заказчика)
- включает оформление разрешительных документов на размещение
- включает справки о выполнении ТУ от собственников инфраструктуры (при необходимости)</t>
  </si>
  <si>
    <t xml:space="preserve">Расценки на монтаж щитов/шкафов для АСКУЭ различных типоразмеров
- монтаж укомплектованного шкафа 
- включает имиджевые наклейки и пр. элементы по комплектации в ТЗ (в т.ч. и по ТЗ основного Заказчика)
- включает оформление разрешительных документов на размещение
- включает справки о выполнении ТУ от собственников инфраструктуры (при необходимости)
- не включает стоимость активного оборудования </t>
  </si>
  <si>
    <r>
      <t xml:space="preserve">Расценки на монтаж оборудования в шкафы/стойки ёмкостью </t>
    </r>
    <r>
      <rPr>
        <sz val="10"/>
        <color rgb="FF0000FF"/>
        <rFont val="Consolas"/>
        <family val="3"/>
        <charset val="204"/>
      </rPr>
      <t xml:space="preserve">свыше 4U </t>
    </r>
    <r>
      <rPr>
        <sz val="10"/>
        <color theme="1" tint="4.9989318521683403E-2"/>
        <rFont val="Consolas"/>
        <family val="3"/>
        <charset val="204"/>
      </rPr>
      <t xml:space="preserve">( в комплектах)
- включает электромонтажные работы (при необходимости) и стоимость силового кабеля (при необходимости)
- включает бирки на кабель. 
</t>
    </r>
    <r>
      <rPr>
        <sz val="10"/>
        <color rgb="FF0000FF"/>
        <rFont val="Consolas"/>
        <family val="3"/>
        <charset val="204"/>
      </rPr>
      <t>- не включает стоимость  активного оборудования, монтаж и стоимость стойки, шкафа</t>
    </r>
    <r>
      <rPr>
        <sz val="10"/>
        <color theme="1" tint="4.9989318521683403E-2"/>
        <rFont val="Consolas"/>
        <family val="3"/>
        <charset val="204"/>
      </rPr>
      <t xml:space="preserve">
- оформление исполнительной документации по МР</t>
    </r>
  </si>
  <si>
    <r>
      <t xml:space="preserve">Расценки на монтаж оборудования в шкафы/стойки ёмкостью </t>
    </r>
    <r>
      <rPr>
        <sz val="10"/>
        <color rgb="FF0000FF"/>
        <rFont val="Consolas"/>
        <family val="3"/>
        <charset val="204"/>
      </rPr>
      <t>до 4U</t>
    </r>
    <r>
      <rPr>
        <sz val="10"/>
        <color theme="1" tint="4.9989318521683403E-2"/>
        <rFont val="Consolas"/>
        <family val="3"/>
        <charset val="204"/>
      </rPr>
      <t xml:space="preserve"> (в ед. оборудования)
- включает электромонтажные работы (при необходимости) и стоимость силового кабеля (при необходимости)
- включает бирки на кабель. 
</t>
    </r>
    <r>
      <rPr>
        <sz val="10"/>
        <color rgb="FF0000FF"/>
        <rFont val="Consolas"/>
        <family val="3"/>
        <charset val="204"/>
      </rPr>
      <t>- не включает стоимость  активного оборудования, монтаж и стоимость стойки, шкафа</t>
    </r>
    <r>
      <rPr>
        <sz val="10"/>
        <color theme="1" tint="4.9989318521683403E-2"/>
        <rFont val="Consolas"/>
        <family val="3"/>
        <charset val="204"/>
      </rPr>
      <t xml:space="preserve">
- оформление исполнительной документации по МР</t>
    </r>
  </si>
  <si>
    <t>Расценка на монтаж второго и последующего экземпляра оборудоваия в шкафы и стойки
- включает работы на стойках
- включает оформление разрешительных документов на доступ к шкафу/стойке
- включает оформление исполнительной документации по МР</t>
  </si>
  <si>
    <t>Расценка на обновление ПО
- данные работы выполняются по отдельному Заказу со стороны Заказчика</t>
  </si>
  <si>
    <r>
      <t xml:space="preserve">Расценки на монтаж АТС (любых типов, аналоговые/цифровые/гибридные)
- включает оформление исполнительной документации по МР
- включает восстановление поверхностей и их отделки после монтажа
</t>
    </r>
    <r>
      <rPr>
        <sz val="10"/>
        <color rgb="FF0000FF"/>
        <rFont val="Consolas"/>
        <family val="3"/>
        <charset val="204"/>
      </rPr>
      <t>- не включает стоимость самой АТС/MSAN</t>
    </r>
  </si>
  <si>
    <r>
      <t xml:space="preserve">Расценка на демонтаж шкафа/стойки ёмкостью </t>
    </r>
    <r>
      <rPr>
        <sz val="10"/>
        <color rgb="FF0000FF"/>
        <rFont val="Consolas"/>
        <family val="3"/>
        <charset val="204"/>
      </rPr>
      <t>до 24U или до 48U</t>
    </r>
    <r>
      <rPr>
        <sz val="10"/>
        <color theme="1" tint="4.9989318521683403E-2"/>
        <rFont val="Consolas"/>
        <family val="3"/>
        <charset val="204"/>
      </rPr>
      <t xml:space="preserve">
- включает восстановление поверхностей и их отделки помещений/мест размещения после монтажа (при необходимости,указывается в Заказе)
- включает оформление разрешительных документов на доступ к шкафу/стойке, помещению или территории размещения
- включает передачу Заказчику вместе с демонтированным шкафом/стойкой набора крепежных и соединительных элементов с предыдущего места установки
- включает восстановление лакокрасочного покрытия демонтированного шкафа/стойки,пострадавшего с момента передачи в демонтаж и до момента передачи Заказчику по акту сдачи-приёмки на новом месте установки или на складе Заказчика
- включает восстановление комплектности крепежных,соединительных и конструктивных элементов демонтированного шкафа/стойки,утеря которого произошла  с момента передачи в демонтаж и до момента передачи Заказчику по акту сдачи-приёмки на новом месте установки или на складе Заказчика
</t>
    </r>
    <r>
      <rPr>
        <sz val="10"/>
        <color rgb="FF0000FF"/>
        <rFont val="Consolas"/>
        <family val="3"/>
        <charset val="204"/>
      </rPr>
      <t>- не включает демонтаж оборудования из шкафа/стойки.Демонтаж активного оборудования,ВРУ и пр. см. расценку 6.37</t>
    </r>
  </si>
  <si>
    <r>
      <t xml:space="preserve">Расценка на демонтаж оборудования размером </t>
    </r>
    <r>
      <rPr>
        <sz val="10"/>
        <color rgb="FF0000FF"/>
        <rFont val="Consolas"/>
        <family val="3"/>
        <charset val="204"/>
      </rPr>
      <t xml:space="preserve">до  4U </t>
    </r>
    <r>
      <rPr>
        <sz val="10"/>
        <color theme="1" tint="4.9989318521683403E-2"/>
        <rFont val="Consolas"/>
        <family val="3"/>
        <charset val="204"/>
      </rPr>
      <t>из шкафов/стоек
- включает оформление разрешительных документов на доступ к шкафу/стойке, помещению или территории размещения
- включает передачу Заказчику вместе с демонтированным оборудованием набора крепежных и соединительных элементов с предыдущего места установки, включая патч-корды и т.п.
- включает восстановление лакокрасочного покрытия демонтированного оборудования,пострадавшего с момента передачи в демонтаж и до момента передачи Заказчику по акту сдачи-приёмки на новом месте установки или на складе Заказчика
- включает восстановление комплектности крепежных,соединительных и конструктивных элементов демонтированного оборудования,утеря которого произошла  с момента передачи в демонтаж и до момента передачи Заказчику по акту сдачи-приёмки на новом месте установки или на складе Заказчика</t>
    </r>
  </si>
  <si>
    <t>Расценки для строительства АГС (абонентской горизонтальной сети) [организация абонентских линий от оконечных устройств строящихся сетей ШПД FTTB и FTTH до розетки в дх].АГС КТВ см. расценку 6.44 и 6.45</t>
  </si>
  <si>
    <r>
      <rPr>
        <sz val="10"/>
        <color theme="1" tint="4.9989318521683403E-2"/>
        <rFont val="Consolas"/>
        <family val="3"/>
        <charset val="204"/>
      </rPr>
      <t xml:space="preserve">Расценка на АЛ из </t>
    </r>
    <r>
      <rPr>
        <sz val="10"/>
        <color rgb="FF0000FF"/>
        <rFont val="Consolas"/>
        <family val="3"/>
        <charset val="204"/>
      </rPr>
      <t>UTP 4х2 открытым способом/по существующим конструкциям</t>
    </r>
    <r>
      <rPr>
        <sz val="10"/>
        <color theme="1" tint="4.9989318521683403E-2"/>
        <rFont val="Consolas"/>
        <family val="3"/>
        <charset val="204"/>
      </rPr>
      <t xml:space="preserve">
- прокладка и монтаж кабеля по стене,потолку (в т.ч. по фасаду)/трубе/коробу/кабельному каналу/гофре от установленных ЯР/ШАН/КРТ
- размещение с креплением открытым способом на потолке подразумевает использование обязательных крпеёжных элементов - пластиковых монтажных площадок 
- включает маркировку имиджевыми идентификационными наклейками
- включает стоимость коннектора/розетки RJ,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t>
    </r>
    <r>
      <rPr>
        <sz val="10"/>
        <color theme="1" tint="4.9989318521683403E-2"/>
        <rFont val="Consolas"/>
        <family val="3"/>
        <charset val="204"/>
      </rPr>
      <t xml:space="preserve"> </t>
    </r>
    <r>
      <rPr>
        <sz val="10"/>
        <color rgb="FF0000FF"/>
        <rFont val="Consolas"/>
        <family val="3"/>
        <charset val="204"/>
      </rPr>
      <t>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</si>
  <si>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UTP 4х2 по  конструкциям с их установкой</t>
    </r>
    <r>
      <rPr>
        <sz val="10"/>
        <color theme="1" tint="4.9989318521683403E-2"/>
        <rFont val="Consolas"/>
        <family val="3"/>
        <charset val="204"/>
      </rPr>
      <t xml:space="preserve">
- прокладка и монтаж кабеля в конструкциях:трубе/коробу/кабельному каналу/гофре с их установкой, от установленных ЯР/ШАН/КРТ
- включает маркировку имиджевыми идентификационными наклейками
- включает стоимость коннектора/розетки RJ,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</si>
  <si>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 xml:space="preserve">ОВП-2Д </t>
    </r>
    <r>
      <rPr>
        <sz val="10"/>
        <color theme="1" tint="4.9989318521683403E-2"/>
        <rFont val="Consolas"/>
        <family val="3"/>
        <charset val="204"/>
      </rPr>
      <t xml:space="preserve">(рекомендуемый тип кабеля) </t>
    </r>
    <r>
      <rPr>
        <sz val="10"/>
        <color rgb="FF0000FF"/>
        <rFont val="Consolas"/>
        <family val="3"/>
        <charset val="204"/>
      </rPr>
      <t>открытым способом/по существующим конструкциям</t>
    </r>
    <r>
      <rPr>
        <sz val="10"/>
        <color theme="1" tint="4.9989318521683403E-2"/>
        <rFont val="Consolas"/>
        <family val="3"/>
        <charset val="204"/>
      </rPr>
      <t xml:space="preserve">
-включает абонентский 2-х волоконный кабель.
-прокладка и монтаж кабеля по стене,потолку (в т.ч. по фасаду)/трубе/коробу/кабельному каналу/гофре от установленных ОРК
- размещение с креплением открытым спосбом на потолке подразумевает использование обязательных крпеёжных элементов - пластиковых монтажных площадок 
- включает маркировку имиджевыми идентификационными наклейками
- включает стоимость коннектора (любой разъём,любая полировка)/розетки ОРА, прочих материалов
- для решений с установкой ОРА в дх включает обязательную сварную концевую заделку АЛ (сварка кабеля АЛ и пигтейлов SC/APC для включения в адаптеры УСМ и ОРА. </t>
    </r>
    <r>
      <rPr>
        <sz val="10"/>
        <color rgb="FFFF0000"/>
        <rFont val="Consolas"/>
        <family val="3"/>
        <charset val="204"/>
      </rPr>
      <t xml:space="preserve">Применение механических способов сращивания волокна АЛ и пигтейлов (механический сплайс, коннекторы быстрого монтажа) не допускается </t>
    </r>
    <r>
      <rPr>
        <sz val="10"/>
        <color theme="1" tint="4.9989318521683403E-2"/>
        <rFont val="Consolas"/>
        <family val="3"/>
        <charset val="204"/>
      </rPr>
      <t xml:space="preserve">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</si>
  <si>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 xml:space="preserve">ОВП-2Д </t>
    </r>
    <r>
      <rPr>
        <sz val="10"/>
        <color theme="1" tint="4.9989318521683403E-2"/>
        <rFont val="Consolas"/>
        <family val="3"/>
        <charset val="204"/>
      </rPr>
      <t xml:space="preserve">(рекомендуемаый тип кабеля) </t>
    </r>
    <r>
      <rPr>
        <sz val="10"/>
        <color rgb="FF0000FF"/>
        <rFont val="Consolas"/>
        <family val="3"/>
        <charset val="204"/>
      </rPr>
      <t>по  конструкциям с их установкой</t>
    </r>
    <r>
      <rPr>
        <sz val="10"/>
        <color theme="1" tint="4.9989318521683403E-2"/>
        <rFont val="Consolas"/>
        <family val="3"/>
        <charset val="204"/>
      </rPr>
      <t xml:space="preserve">
-включает абонентский 2-х волоконный кабель.
-прокладка и монтаж кабеля в конструкциях:трубе/коробу/кабельному каналу/гофре с их установкой, от установленных ОРК
- включает маркировку имиджевыми идентификационными наклейками
- включает стоимость коннектора (любой разъём,любая полировка)/розетки ОРА, прочих материалов
- для решений с установкой ОРА в дх включает обязательную сварную концевую заделку АЛ (сварка кабеля АЛ и пигтейлов SC/APC для включения в адаптеры УСМ и ОРА. </t>
    </r>
    <r>
      <rPr>
        <sz val="10"/>
        <color rgb="FFFF0000"/>
        <rFont val="Consolas"/>
        <family val="3"/>
        <charset val="204"/>
      </rPr>
      <t xml:space="preserve">Применение механических способов сращивания волокна АЛ и пигтейлов (механический сплайс, коннекторы быстрого монтажа) не допускается </t>
    </r>
    <r>
      <rPr>
        <sz val="10"/>
        <color theme="1" tint="4.9989318521683403E-2"/>
        <rFont val="Consolas"/>
        <family val="3"/>
        <charset val="204"/>
      </rPr>
      <t xml:space="preserve">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</si>
  <si>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ОВП-2Д</t>
    </r>
    <r>
      <rPr>
        <sz val="10"/>
        <color theme="1" tint="4.9989318521683403E-2"/>
        <rFont val="Consolas"/>
        <family val="3"/>
        <charset val="204"/>
      </rPr>
      <t xml:space="preserve"> (рекомендуемаый тип кабеля) по стене </t>
    </r>
    <r>
      <rPr>
        <sz val="10"/>
        <color rgb="FF0000FF"/>
        <rFont val="Consolas"/>
        <family val="3"/>
        <charset val="204"/>
      </rPr>
      <t xml:space="preserve">с устройством и заделкой борозды, восстановлением поверхности
</t>
    </r>
    <r>
      <rPr>
        <sz val="10"/>
        <color theme="1" tint="4.9989318521683403E-2"/>
        <rFont val="Consolas"/>
        <family val="3"/>
        <charset val="204"/>
      </rPr>
      <t xml:space="preserve">
-включает абонентский 2-х волоконный кабель
-включает восстановление поверхности,в т.ч. и финишной отделки (чистовая штукатурка,покраска или иной вид отделки)
-прокладка и монтаж кабеля в конструкциях:трубе/коробу/кабельному каналу/гофре с их установкой, от установленных ОРК
- включает маркировку имиджевыми идентификационными наклейками
- включает стоимость коннектора (любой разъём,любая полировка)/розетки ОРА, прочих материалов
- для решений с установкой ОРА в дх включает обязательную сварную концевую заделку АЛ (сварка кабеля АЛ и пигтейлов SC/APC для включения в адаптеры УСМ и ОРА.</t>
    </r>
    <r>
      <rPr>
        <sz val="10"/>
        <color rgb="FFFF0000"/>
        <rFont val="Consolas"/>
        <family val="3"/>
        <charset val="204"/>
      </rPr>
      <t xml:space="preserve"> Применение механических способов сращивания волокна АЛ и пигтейлов (механический сплайс, коннекторы быстрого монтажа) не допускается 
- оформление исполнительной документации по МР
</t>
    </r>
    <r>
      <rPr>
        <sz val="10"/>
        <color theme="1" tint="4.9989318521683403E-2"/>
        <rFont val="Consolas"/>
        <family val="3"/>
        <charset val="204"/>
      </rPr>
      <t>-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</si>
  <si>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UTP 8х2 открытым способом/по существующим конструкциям</t>
    </r>
    <r>
      <rPr>
        <sz val="10"/>
        <color theme="1" tint="4.9989318521683403E-2"/>
        <rFont val="Consolas"/>
        <family val="3"/>
        <charset val="204"/>
      </rPr>
      <t xml:space="preserve">
- прокладка и монтаж кабеля по стене,потолку (в т.ч. по фасаду)/трубе/коробу/кабельному каналу/гофре от установленных ЯР/ШАН/КРТ
- размещение с креплением открытым способом на потолке подразумевает использование обязательных крпеёжных элементов - пластиковых монтажных площадок 
- включает маркировку имиджевыми идентификационными наклейками
- включает стоимость коннектора/розетки RJ,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</si>
  <si>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UTP 8х2 по  конструкциям с их установкой</t>
    </r>
    <r>
      <rPr>
        <sz val="10"/>
        <color theme="1" tint="4.9989318521683403E-2"/>
        <rFont val="Consolas"/>
        <family val="3"/>
        <charset val="204"/>
      </rPr>
      <t xml:space="preserve">
- прокладка и монтаж кабеля в конструкциях:трубе/коробу/кабельному каналу/гофре с их установкой, от установленных ЯР/ШАН/КРТ
- включает маркировку имиджевыми идентификационными наклейками
- включает стоимость коннектора/розетки RJ,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</si>
  <si>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RG-59/6 (или аналог) с установкой конструкций (трубы/короба/кабель-канала) для АГС КТВ ,в/наблюдения в квартиру</t>
    </r>
    <r>
      <rPr>
        <sz val="10"/>
        <color theme="1" tint="0.14999847407452621"/>
        <rFont val="Consolas"/>
        <family val="3"/>
        <charset val="204"/>
      </rPr>
      <t xml:space="preserve">
-прокладка и монтаж кабеля по стене,потолку (в т.ч. по фасаду)/трубе/коробу/кабельному каналу/гофре от установленных оконечных устройств
- размещение с креплением открытым способом на потолке подразумевает использование обязательных крепёжных элементов - пластиковых монтажных площадок 
- включает маркировку имиджевыми идентификационными наклейками
- включает стоимость коннектора F,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коробок такого типа запрещено.</t>
    </r>
    <r>
      <rPr>
        <sz val="10"/>
        <color theme="1" tint="0.14999847407452621"/>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т.п,за исключеним услуг видеонаблюдения для физ.лиц (в квартиры)</t>
    </r>
  </si>
  <si>
    <r>
      <t xml:space="preserve">Расценка на АЛ из </t>
    </r>
    <r>
      <rPr>
        <sz val="10"/>
        <color rgb="FF0000FF"/>
        <rFont val="Consolas"/>
        <family val="3"/>
        <charset val="204"/>
      </rPr>
      <t>UTP 4х2 по стене с устройством и заделкой борозды, восстановлением поверхности</t>
    </r>
    <r>
      <rPr>
        <sz val="10"/>
        <color theme="1" tint="4.9989318521683403E-2"/>
        <rFont val="Consolas"/>
        <family val="3"/>
        <charset val="204"/>
      </rPr>
      <t xml:space="preserve">
- включает восстановление поверхности,в т.ч. и финишной отделки (чистовая штукатурка,покраска или иной вид отделки)
- включает маркировку имиджевыми идентификационными наклейками
- включает стоимость коннектора/розетки RJ,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</si>
  <si>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UTP 8х2 по стене с устройством и заделкой борозды, восстановлением поверхности</t>
    </r>
    <r>
      <rPr>
        <sz val="10"/>
        <color theme="1" tint="4.9989318521683403E-2"/>
        <rFont val="Consolas"/>
        <family val="3"/>
        <charset val="204"/>
      </rPr>
      <t xml:space="preserve">
- включает восстановление поверхности,в т.ч. и финишной отделки (чистовая штукатурка,покраска или иной вид отделки)
- включает маркировку имиджевыми идентификационными наклейками
- включает стоимость коннектора/розетки RJ,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 коробок такого типа запрещено.</t>
    </r>
    <r>
      <rPr>
        <sz val="10"/>
        <color theme="1" tint="4.9989318521683403E-2"/>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t>
    </r>
  </si>
  <si>
    <r>
      <t xml:space="preserve">Расценка на АЛ из </t>
    </r>
    <r>
      <rPr>
        <sz val="10"/>
        <color rgb="FF0000FF"/>
        <rFont val="Consolas"/>
        <family val="3"/>
        <charset val="204"/>
      </rPr>
      <t>RG-59/6 (или аналог) открытым способом/по существующим конструкциям для АГС КТВ ,в/наблюдения в квартиру</t>
    </r>
    <r>
      <rPr>
        <sz val="10"/>
        <color theme="1" tint="0.14999847407452621"/>
        <rFont val="Consolas"/>
        <family val="3"/>
        <charset val="204"/>
      </rPr>
      <t xml:space="preserve">
-прокладка и монтаж кабеля по стене,потолку (в т.ч. по фасаду)/трубе/коробу/кабельному каналу/гофре от установленных оконечных устройств
- размещение с креплением открытым способом на потолке подразумевает использование обязательных крепёжных элементов - пластиковых монтажных площадок 
- включает маркировку имиджевыми идентификационными наклейками
- включает стоимость коннектора F,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коробок такого типа запрещено.</t>
    </r>
    <r>
      <rPr>
        <sz val="10"/>
        <color theme="1" tint="0.14999847407452621"/>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т.п,за исключеним услуг видеонаблюдения для физ.лиц (в квартиры)</t>
    </r>
  </si>
  <si>
    <r>
      <t xml:space="preserve">Расценка на АЛ из </t>
    </r>
    <r>
      <rPr>
        <sz val="10"/>
        <color rgb="FF0000FF"/>
        <rFont val="Consolas"/>
        <family val="3"/>
        <charset val="204"/>
      </rPr>
      <t>RG-59/6 (или аналог) по стене с устройством и заделкой борозды, восстановлением поверхности для АГС КТВ ,в/наблюдения в квартиру</t>
    </r>
    <r>
      <rPr>
        <sz val="10"/>
        <color theme="1" tint="0.14999847407452621"/>
        <rFont val="Consolas"/>
        <family val="3"/>
        <charset val="204"/>
      </rPr>
      <t xml:space="preserve">
- включает восстановление поверхности,в т.ч. и финишной отделки (чистовая штукатурка,покраска или иной вид отделки)- размещение с креплением открытым способом на потолке подразумевает использование обязательных крепёжных элементов - пластиковых монтажных площадок 
- включает маркировку имиджевыми идентификационными наклейками
- включает стоимость коннектора F, прочих материалов
- оформление исполнительной документации по МР
- указанная абонентская коробка является комбинированным блоком розеток(например в различной комплектации-220 В,типа RJ-45/11,ОРА,РПВ,ТВ одиночные разъем F).Предоставляется Заказчиком в случае реализации решений, где установка таких коробок/блоков является условием со стороны Застройщика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коробок такого типа запрещено.</t>
    </r>
    <r>
      <rPr>
        <sz val="10"/>
        <color theme="1" tint="0.14999847407452621"/>
        <rFont val="Consolas"/>
        <family val="3"/>
        <charset val="204"/>
      </rPr>
      <t xml:space="preserve">
</t>
    </r>
    <r>
      <rPr>
        <sz val="10"/>
        <color rgb="FF0000FF"/>
        <rFont val="Consolas"/>
        <family val="3"/>
        <charset val="204"/>
      </rPr>
      <t>- Не применяется на объектах В2С при организации линий для подключения оборудования домофонии / СКУД / видеонаблюдения / телеметрии и т.п,за исключеним услуг видеонаблюдения для физ.лиц (в квартиры)</t>
    </r>
  </si>
  <si>
    <r>
      <t xml:space="preserve">Расценки для организации абонентских линий до клиента В2В/В2G или для подключения оборудования "ключа" с 6.46 по 6.53
</t>
    </r>
    <r>
      <rPr>
        <sz val="10"/>
        <color rgb="FF0000FF"/>
        <rFont val="Consolas"/>
        <family val="3"/>
        <charset val="204"/>
      </rPr>
      <t>- Не применяются для объектов В2С при организации абонентских линий до квартир/дх абонентов</t>
    </r>
    <r>
      <rPr>
        <sz val="10"/>
        <rFont val="Consolas"/>
        <family val="3"/>
        <charset val="204"/>
      </rPr>
      <t xml:space="preserve">
- основная сфера применения-объекты В2В/В2G
- может применяться на объектах В2С только при организации линий для подключения оборудования домофонии /СКУД/видеонаблюдения/телеметрии и т.п.
-включает установку в дх или офисе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Застройщиком/Клиентом и Заказчиком.</t>
    </r>
    <r>
      <rPr>
        <sz val="10"/>
        <color rgb="FFFF0000"/>
        <rFont val="Consolas"/>
        <family val="3"/>
        <charset val="204"/>
      </rPr>
      <t>Использование несогласованных с Застройщиком коробок такого типа запрещено.</t>
    </r>
    <r>
      <rPr>
        <sz val="10"/>
        <rFont val="Consolas"/>
        <family val="3"/>
        <charset val="204"/>
      </rPr>
      <t xml:space="preserve">
- полные составы работ см. комментарии к расценкам 6.38-6.43 (по соотвествующим типам АЛ,способу прокладки)</t>
    </r>
  </si>
  <si>
    <t>Расценка на прокладку кабеля в лифтовой шахте
-применяется для прокладки кабеля определённой конструкции для подключения оборудования и устройств в лифтовых шахтах
- включает маркировку имиджевыми идентификационными наклейками
- включает оформление исполнительной документации по МР</t>
  </si>
  <si>
    <r>
      <t xml:space="preserve">Расценка на ВКЛС абонентского кабеля UTP </t>
    </r>
    <r>
      <rPr>
        <sz val="10"/>
        <color rgb="FF0000FF"/>
        <rFont val="Consolas"/>
        <family val="3"/>
        <charset val="204"/>
      </rPr>
      <t>до 8х2</t>
    </r>
    <r>
      <rPr>
        <sz val="10"/>
        <color theme="1" tint="0.14999847407452621"/>
        <rFont val="Consolas"/>
        <family val="3"/>
        <charset val="204"/>
      </rPr>
      <t xml:space="preserve">
- применяется для прокладки кабеля для подключения оборудования и устройств,подключения клиентов В2В,В2О,В2G (за исключением абонетских,расположенных в квартире/дх)
- включает установку в дх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Застройщиком/Клиентом коробок такого типа запрещено.</t>
    </r>
    <r>
      <rPr>
        <sz val="10"/>
        <color theme="1" tint="0.14999847407452621"/>
        <rFont val="Consolas"/>
        <family val="3"/>
        <charset val="204"/>
      </rPr>
      <t xml:space="preserve">
- включает оформление исполнительной документации по МР</t>
    </r>
  </si>
  <si>
    <r>
      <t xml:space="preserve">Расценка на прокладку абонентского кабеля </t>
    </r>
    <r>
      <rPr>
        <sz val="10"/>
        <color rgb="FF0000FF"/>
        <rFont val="Consolas"/>
        <family val="3"/>
        <charset val="204"/>
      </rPr>
      <t>ВОК 2-4 ОВ в пределах одного здания по сущ. инфраструктуре /конструкциям или открытым способом</t>
    </r>
    <r>
      <rPr>
        <sz val="10"/>
        <color theme="1" tint="0.14999847407452621"/>
        <rFont val="Consolas"/>
        <family val="3"/>
        <charset val="204"/>
      </rPr>
      <t xml:space="preserve">
- применяется для прокладки кабеля для подключения оборудования и устройств,подключения клиентов В2В,В2О,В2G (за исключением абонентских,расположенных в квартире/дх)
</t>
    </r>
    <r>
      <rPr>
        <sz val="10"/>
        <color rgb="FF0000FF"/>
        <rFont val="Consolas"/>
        <family val="3"/>
        <charset val="204"/>
      </rPr>
      <t>- не применяется при организации нового/дополнительного УД в этом же здании</t>
    </r>
    <r>
      <rPr>
        <sz val="10"/>
        <color theme="1" tint="0.14999847407452621"/>
        <rFont val="Consolas"/>
        <family val="3"/>
        <charset val="204"/>
      </rPr>
      <t xml:space="preserve">
- включает оформление исполнительной документации по МР</t>
    </r>
  </si>
  <si>
    <r>
      <t xml:space="preserve">Расценка на прокладку абонентского кабеля </t>
    </r>
    <r>
      <rPr>
        <sz val="10"/>
        <color rgb="FF0000FF"/>
        <rFont val="Consolas"/>
        <family val="3"/>
        <charset val="204"/>
      </rPr>
      <t>ВОК 2-4 ОВ в пределах одного здания с установкой конструкций</t>
    </r>
    <r>
      <rPr>
        <sz val="10"/>
        <color theme="1" tint="0.14999847407452621"/>
        <rFont val="Consolas"/>
        <family val="3"/>
        <charset val="204"/>
      </rPr>
      <t xml:space="preserve">
- применяется для прокладки кабеля для подключения оборудования и устройств,подключения клиентов В2В,В2О,В2G (за исключением абонентских,расположенных в квартире/дх)
</t>
    </r>
    <r>
      <rPr>
        <sz val="10"/>
        <color rgb="FF0000FF"/>
        <rFont val="Consolas"/>
        <family val="3"/>
        <charset val="204"/>
      </rPr>
      <t>- не применяется при организации нового/дополнительного УД в этом же здании</t>
    </r>
    <r>
      <rPr>
        <sz val="10"/>
        <color theme="1" tint="0.14999847407452621"/>
        <rFont val="Consolas"/>
        <family val="3"/>
        <charset val="204"/>
      </rPr>
      <t xml:space="preserve">
- включает все сопуствующие внутриобъектовые работы, включая восстановление поверхностей и их отделки
- включает концевую заделку кабеля с обеих сторон (коннекторами,ОРА)
- включает оформление исполнительной документации по МР</t>
    </r>
  </si>
  <si>
    <r>
      <t xml:space="preserve">Расценка на строительство сетей </t>
    </r>
    <r>
      <rPr>
        <sz val="10"/>
        <color rgb="FF0000FF"/>
        <rFont val="Consolas"/>
        <family val="3"/>
        <charset val="204"/>
      </rPr>
      <t>на коаксиальных кабелях</t>
    </r>
    <r>
      <rPr>
        <sz val="10"/>
        <rFont val="Consolas"/>
        <family val="3"/>
        <charset val="204"/>
      </rPr>
      <t xml:space="preserve">, в т.ч. и КТВ в отдельных случаях , </t>
    </r>
    <r>
      <rPr>
        <sz val="10"/>
        <color rgb="FF0000FF"/>
        <rFont val="Consolas"/>
        <family val="3"/>
        <charset val="204"/>
      </rPr>
      <t xml:space="preserve">по существующим конструкциям; с установкой конструкций
</t>
    </r>
    <r>
      <rPr>
        <sz val="10"/>
        <rFont val="Consolas"/>
        <family val="3"/>
        <charset val="204"/>
      </rPr>
      <t xml:space="preserve">
- включает прокладку линии КТВ (ДРС КТВ) с прокладкой RG для нетипового подключения клиента/абонента
</t>
    </r>
    <r>
      <rPr>
        <sz val="10"/>
        <color rgb="FF0000FF"/>
        <rFont val="Consolas"/>
        <family val="3"/>
        <charset val="204"/>
      </rPr>
      <t>- не применяется для организации абонентской линии кабелем RG-6 в дх абонента-физ.лица (строительство АГС)-см. расценки 6.44,6.45,6.45.1</t>
    </r>
    <r>
      <rPr>
        <sz val="10"/>
        <rFont val="Consolas"/>
        <family val="3"/>
        <charset val="204"/>
      </rPr>
      <t xml:space="preserve">
- включает прокладку коаксиального кабеля под отдельные тех. решения , в т.ч. и ЛВС по отдельному заказу 
- включает монтаж АК, делителей, ответвителей, нагрузок, шнуров (при необходимости)
- включает концевую заделку кабелей с установкой соотвествующих розеток типа F или установкой  вместо розеток монтажных /распаечных коробок для размещения неоконеченного запаса АЛ внутри по решению Заказчика .Тип таких коробок,способ монтажа (внутренние,внешние) согласовать с Застройщиком и Заказчиком.</t>
    </r>
    <r>
      <rPr>
        <sz val="10"/>
        <color rgb="FFFF0000"/>
        <rFont val="Consolas"/>
        <family val="3"/>
        <charset val="204"/>
      </rPr>
      <t>Использование несогласованных с Застройщиком/Клиентом коробок такого типа запрещено.</t>
    </r>
    <r>
      <rPr>
        <sz val="10"/>
        <rFont val="Consolas"/>
        <family val="3"/>
        <charset val="204"/>
      </rPr>
      <t xml:space="preserve">
- включает монтаж активного оборудования (оптические приемники), прочие затраты;
- включает оформление разрешительных документов (включая все согласования) необходимых при строительстве ДРС КТВ, ЛВС и др. коаксиальных сетей
- включает оформление исполнительной документации по МР
</t>
    </r>
    <r>
      <rPr>
        <sz val="10"/>
        <color rgb="FF0000FF"/>
        <rFont val="Consolas"/>
        <family val="3"/>
        <charset val="204"/>
      </rPr>
      <t>- не включает  стоимость оптического приемника КТВ и другого активного оборудования
- не применяется совместно с расценкой 6.7</t>
    </r>
  </si>
  <si>
    <t>для справки:(ЗУ)- запирающее устройство</t>
  </si>
  <si>
    <r>
      <t xml:space="preserve">Расценка на тех. аудит (приёмку) существующей ДРС, видеодомофонной сети на Объекте, переходящем на обслуживание
- применяется только на существующих сетях
- отчет и комплект документов по результатам аудита (приёмки) по требованию Заказчика
- включает фото и видеоматериалы аудита по требованию Заказчика
- применяется и для сетей ВН(видеонаблюдения)/СКУД/домофонии (аналоговой и IP)
</t>
    </r>
    <r>
      <rPr>
        <sz val="10"/>
        <color rgb="FF0000FF"/>
        <rFont val="Consolas"/>
        <family val="3"/>
        <charset val="204"/>
      </rPr>
      <t>- не применяется на вновь построенных сетях по заказу от Заказчика</t>
    </r>
    <r>
      <rPr>
        <sz val="10"/>
        <color theme="1" tint="0.14999847407452621"/>
        <rFont val="Consolas"/>
        <family val="3"/>
        <charset val="204"/>
      </rPr>
      <t xml:space="preserve">
</t>
    </r>
    <r>
      <rPr>
        <sz val="10"/>
        <color rgb="FF0000FF"/>
        <rFont val="Consolas"/>
        <family val="3"/>
        <charset val="204"/>
      </rPr>
      <t>- не применяется как часть ПИР для строительства новых сетей Заказчика</t>
    </r>
  </si>
  <si>
    <r>
      <t xml:space="preserve">Расценка на монтаж и подключение вызывной панели домофона </t>
    </r>
    <r>
      <rPr>
        <sz val="10"/>
        <color rgb="FF0000FF"/>
        <rFont val="Consolas"/>
        <family val="3"/>
        <charset val="204"/>
      </rPr>
      <t>в случае замены существующей панели, в т.ч. и другой конструкции (при восстановлении ,модернизации,переустройстве и пр.)</t>
    </r>
    <r>
      <rPr>
        <sz val="10"/>
        <color theme="1"/>
        <rFont val="Consolas"/>
        <family val="3"/>
        <charset val="204"/>
      </rPr>
      <t xml:space="preserve">
- включает сдачу демонтированного оборудования Заказчику по акту ,с сохранением комплектации,крепежных элементов и оснастки
- включает восстановление отделки/покраски поверхностей после установки и конструктивной целостности входных групп и стен после переустройства посадочного места под вновь устанавливаемую панель
- включает  маркировка имиджевыми идентификационными наклейками. Оформление разрешительных документов
- включает оформление исполнительной документации по МР</t>
    </r>
  </si>
  <si>
    <r>
      <t xml:space="preserve">СМР, ПИР, не ограничиваясь перечисленным; демонтаж старой панели, подготовка/переустройство  места установки новой панели, установка и монтаж вызывной панели (включая крепежные материалы и изделия, переходные пластины, монтажные кожухи, необходимые строительные материалы), включение электропитания. Оформление разрешительных документов, исполнительной документации. 
</t>
    </r>
    <r>
      <rPr>
        <sz val="10"/>
        <color rgb="FF0000FF"/>
        <rFont val="Consolas"/>
        <family val="3"/>
        <charset val="204"/>
      </rPr>
      <t>Без стоимости оборудования.</t>
    </r>
    <r>
      <rPr>
        <sz val="10"/>
        <color theme="1"/>
        <rFont val="Consolas"/>
        <family val="3"/>
        <charset val="204"/>
      </rPr>
      <t xml:space="preserve"> </t>
    </r>
    <r>
      <rPr>
        <sz val="10"/>
        <color rgb="FF0000FF"/>
        <rFont val="Consolas"/>
        <family val="3"/>
        <charset val="204"/>
      </rPr>
      <t xml:space="preserve">Прокладка и монтаж кабелей данной расценкой не учитываются. </t>
    </r>
    <r>
      <rPr>
        <sz val="10"/>
        <color theme="1"/>
        <rFont val="Consolas"/>
        <family val="3"/>
        <charset val="204"/>
      </rPr>
      <t xml:space="preserve">  </t>
    </r>
  </si>
  <si>
    <r>
      <t xml:space="preserve">Расценка на монтаж и подключение БП (блока питания) для панели домофона, электрозамка и пр.
- включает все работы по установке,креплению и подключению БП. При этом БП не должен допускать открытый доступ к нему  третьих лиц
- включает восстановление отделки/покраски поверхностей после установки
- подключение эл. питания к БП (220 В) допускается только от ВРУ УД Заказчика  или ВРУ дома по отдельному кабелю эл. питания.
</t>
    </r>
    <r>
      <rPr>
        <sz val="10"/>
        <color rgb="FF0000FF"/>
        <rFont val="Consolas"/>
        <family val="3"/>
        <charset val="204"/>
      </rPr>
      <t>- не допускается подключение к другим источникам 220 В,находящимся в открытом доступе 
- не допускается последовательное подключение к БП 2-х и более вызывных панелей и/или замков
- не допускается подключение к одному БП более одной вызывной панели</t>
    </r>
  </si>
  <si>
    <t>Расценка на монтаж и подключение контроллера (в том числе и сетевого), ККМ,устройства подключения/коммутации домофона к ОПС/АПС (например УК-ВК и т.д.),СКУД
- включает все работы по установке,креплению и подключению контроллера или устройства коммутации
- включает восстановление отделки/покраски поверхностей после установки
- включает стоимость прокладки UTP от контроллера/устройства коммутации до точки включения в домофонную сеть
- включает стоимость прокладки кабеля питания (ПВС или ВВг) при необходимости
- включает оформление исполнительной документации по МР</t>
  </si>
  <si>
    <t>Расценка на монтаж и подключение блока/модуля сопряжения
- включает все работы по установке,креплению и подключению блока сопряжения
- включает стоимость прокладки UTP от блока соппряжения до точки включения в домофонную сеть
- включает стоимость прокладки кабеля питания (ПВС или ВВг) при необходимости
- включает восстановление отделки/покраски поверхностей после установки
- включает оформление исполнительной документации по МР</t>
  </si>
  <si>
    <r>
      <t xml:space="preserve">СМР, ПИР,  не ограничиваясь перечисленным; установка и монтаж блока/модуля сопряжения (включая крепежные материалы и изделия).  Оформление разрешительных документов, исполнительной документации. </t>
    </r>
    <r>
      <rPr>
        <sz val="10"/>
        <color rgb="FF0000FF"/>
        <rFont val="Consolas"/>
        <family val="3"/>
        <charset val="204"/>
      </rPr>
      <t xml:space="preserve">Без стоимости оборудования. </t>
    </r>
  </si>
  <si>
    <r>
      <t xml:space="preserve">Расценка на монтаж и подключение кнопки выхода/считывателя
- применяется в случае установки кнопки выхода/считывателя на выход,не оснащаемый вызывной панелью
- включает все работы по установке,креплению и подключению считывателя/кнопки выхода
- включает восстановление отделки/покраски поверхностей после установки
- включает оформление исполнительной документации по МР
</t>
    </r>
    <r>
      <rPr>
        <sz val="10"/>
        <color rgb="FF0000FF"/>
        <rFont val="Consolas"/>
        <family val="3"/>
        <charset val="204"/>
      </rPr>
      <t>- не применяется совместно с расценкой 6.60.7
- не применяется совместно с расценкой 6.60.1 на одной входной группе</t>
    </r>
  </si>
  <si>
    <r>
      <t xml:space="preserve">Расценка на монтаж и подключение вызывной панели домофона
- включает восстановление отделки/покраски поверхностей после установки
- включает  маркировка имиджевыми идентификационными наклейками. Оформление разрешительных документов
- включает стоимость/изготовление и монтаж защитного антивандального кожуха (внешний вид согласовать с Застройщиком/основным Заказчиком)
</t>
    </r>
    <r>
      <rPr>
        <sz val="10"/>
        <color rgb="FF0000FF"/>
        <rFont val="Consolas"/>
        <family val="3"/>
        <charset val="204"/>
      </rPr>
      <t>- не включает работы по установке электромагнитного замка-см. расценку 6.60.7</t>
    </r>
    <r>
      <rPr>
        <sz val="10"/>
        <color theme="1"/>
        <rFont val="Consolas"/>
        <family val="3"/>
        <charset val="204"/>
      </rPr>
      <t xml:space="preserve">
- включает оформление исполнительной документации по МР</t>
    </r>
  </si>
  <si>
    <r>
      <t xml:space="preserve">Расценка на монтаж и подключение электромагнитного замка с кнопкой выхода
- включает все работы по установке,креплению и подключению электрозамка и кнопки выхода с диодом
- включает восстановление отделки/покраски поверхностей после установки
- включает стоимость прокладки кабелей (UTP и кабелей эл. питания при необходимости)
- включает оформление исполнительной документации по МР
</t>
    </r>
    <r>
      <rPr>
        <sz val="10"/>
        <color rgb="FF0000FF"/>
        <rFont val="Consolas"/>
        <family val="3"/>
        <charset val="204"/>
      </rPr>
      <t>- не применяется совместно с расценкой 6.60.6</t>
    </r>
  </si>
  <si>
    <r>
      <t xml:space="preserve">Расценка на монтаж доводчика </t>
    </r>
    <r>
      <rPr>
        <sz val="10"/>
        <color rgb="FF0000FF"/>
        <rFont val="Consolas"/>
        <family val="3"/>
        <charset val="204"/>
      </rPr>
      <t>двери</t>
    </r>
    <r>
      <rPr>
        <sz val="10"/>
        <color theme="1"/>
        <rFont val="Consolas"/>
        <family val="3"/>
        <charset val="204"/>
      </rPr>
      <t xml:space="preserve">
- включает все работы по установке,креплению доводчика двери
- включает восстановление отделки/покраски поверхностей после установки
</t>
    </r>
    <r>
      <rPr>
        <sz val="10"/>
        <color rgb="FF0000FF"/>
        <rFont val="Consolas"/>
        <family val="3"/>
        <charset val="204"/>
      </rPr>
      <t xml:space="preserve">- не включает стоимость доводчика </t>
    </r>
    <r>
      <rPr>
        <sz val="10"/>
        <color theme="1"/>
        <rFont val="Consolas"/>
        <family val="3"/>
        <charset val="204"/>
      </rPr>
      <t xml:space="preserve">
- включает оформление исполнительной документации по МР</t>
    </r>
  </si>
  <si>
    <r>
      <t xml:space="preserve">СМР, ПИР,  не ограничиваясь перечисленным; подготовка места установки, установка уличной стойки, монтаж кнопки выхода/считывателя (включая крепежные материалы и изделия). Оформление разрешительных документов, исполнительной документации. </t>
    </r>
    <r>
      <rPr>
        <sz val="10"/>
        <color rgb="FF0000FF"/>
        <rFont val="Consolas"/>
        <family val="3"/>
        <charset val="204"/>
      </rPr>
      <t xml:space="preserve">Без стоимости оборудования. Прокладка и монтаж кабелей данной расценкой не учитываются.   </t>
    </r>
  </si>
  <si>
    <r>
      <t xml:space="preserve">Расценка на монтаж стойки </t>
    </r>
    <r>
      <rPr>
        <sz val="10"/>
        <color rgb="FF0000FF"/>
        <rFont val="Consolas"/>
        <family val="3"/>
        <charset val="204"/>
      </rPr>
      <t>уличной под кнопку,считыватель,домофон/СКУД</t>
    </r>
    <r>
      <rPr>
        <sz val="10"/>
        <color theme="1"/>
        <rFont val="Consolas"/>
        <family val="3"/>
        <charset val="204"/>
      </rPr>
      <t xml:space="preserve">
- включает все работы по установке,креплению стойки
- включает восстановление поверхностей после установки
</t>
    </r>
    <r>
      <rPr>
        <sz val="10"/>
        <color rgb="FF0000FF"/>
        <rFont val="Consolas"/>
        <family val="3"/>
        <charset val="204"/>
      </rPr>
      <t>- не включает стоимость стойки</t>
    </r>
    <r>
      <rPr>
        <sz val="10"/>
        <color theme="1"/>
        <rFont val="Consolas"/>
        <family val="3"/>
        <charset val="204"/>
      </rPr>
      <t xml:space="preserve">
- включает оформление исполнительной документации по МР</t>
    </r>
  </si>
  <si>
    <r>
      <t xml:space="preserve">Расценка на программирование ключей/меток NFС
- включает все работы по программированию ключей или меток NFS (эмулированных и физических)
- эмулированные метки только для поддерживаемых устройств/смартфонов
- включает стоимость ключей и физических NFC меток для </t>
    </r>
    <r>
      <rPr>
        <sz val="10"/>
        <color rgb="FF0000FF"/>
        <rFont val="Consolas"/>
        <family val="3"/>
        <charset val="204"/>
      </rPr>
      <t xml:space="preserve">6.61 </t>
    </r>
    <r>
      <rPr>
        <sz val="10"/>
        <rFont val="Consolas"/>
        <family val="3"/>
        <charset val="204"/>
      </rPr>
      <t>(номенклатуру, тип/вид ключей/меток согласовать с Заказчиком заранее на этапе ПИР)</t>
    </r>
  </si>
  <si>
    <t>Расценка на установку и настройку аудиотрубки в квартире
- включает стоимость аналоговых аудиотрубок (специализированных домофонных или телефонных), за исключением цифровых трубок (IP)
- включает все работы по установке,креплению и подключению аудиотубки и её креплений
- включает (при необходимости) устройство отверстий  в стенах (с установкой гильз) с заделкой, с учетом стоимости всех материалов.
- включает восстановление отделки/покраски поверхностей после установки (при необходимости)</t>
  </si>
  <si>
    <r>
      <t xml:space="preserve">Расценка на установку и настройку аудиотрубки в квартире взамен существующей, проверка и настройка существующей аудиотрубки, установку аудиотрубки-давальческого оборудования Заказчика при новом строительстве
- включает все работы по настройке,проверке и коммутации существующей аудиотрубки к сети Заказчика
- включает все работы по замене существующей аудиотрубки, с коммутацией новой трубки к существующей сети или к сети Заказчика
- включает все работы по установке,креплению и подключению аудиотубки и её креплений
- включает (при необходимости) устройство отверстий  в стенах (с установкой гильз) с заделкой, с учетом стоимости всех материалов.
- включает восстановление отделки/покраски поверхностей после установки (при необходимости)
</t>
    </r>
    <r>
      <rPr>
        <sz val="10"/>
        <color rgb="FF0000FF"/>
        <rFont val="Consolas"/>
        <family val="3"/>
        <charset val="204"/>
      </rPr>
      <t>- не включает стоимость аудиотрубки</t>
    </r>
    <r>
      <rPr>
        <sz val="10"/>
        <rFont val="Consolas"/>
        <family val="3"/>
        <charset val="204"/>
      </rPr>
      <t xml:space="preserve">
- используется для вариантов строительства домофонной сети с давальческим оборудованием (аудиотрубками) Заказчика, в.т. числе и для случаев монтажа IP-трубок (не аналоговых)</t>
    </r>
  </si>
  <si>
    <r>
      <t xml:space="preserve">Расценка на установку и настройку абонентского видеодомофона в квартире взамен существующего, проверка и настройка существующего абонентского видеодомофона, установку видеодомоофона-давальческого оборудования Заказчика при новом строительстве
- включает все работы по настройке,проверке и коммутации существующего абонетского видеодомофона к сети Заказчика
- включает все работы по замене существующего вабонетского видеодомофона, с коммутацией новго видеодомофона к существующей сети или к сети Заказчика
- включает все работы по установке,креплению и подключению видеодомофона и его креплений
- включает (при необходимости) устройство отверстий  в стенах (с установкой гильз) с заделкой, с учетом стоимости всех материалов.
- включает восстановление отделки/покраски поверхностей после установки (при необходимости)
</t>
    </r>
    <r>
      <rPr>
        <sz val="10"/>
        <color rgb="FF0000FF"/>
        <rFont val="Consolas"/>
        <family val="3"/>
        <charset val="204"/>
      </rPr>
      <t>- не включает стоимость абоненского видеодомофона</t>
    </r>
    <r>
      <rPr>
        <sz val="10"/>
        <color theme="1" tint="0.14999847407452621"/>
        <rFont val="Consolas"/>
        <family val="3"/>
        <charset val="204"/>
      </rPr>
      <t xml:space="preserve">
- используется для вариантов строительства домофонной сети с давальческим оборудованием </t>
    </r>
    <r>
      <rPr>
        <sz val="10"/>
        <color rgb="FF0000FF"/>
        <rFont val="Consolas"/>
        <family val="3"/>
        <charset val="204"/>
      </rPr>
      <t>(абоненскими видеодомофонами/видеопанелями/планшетами)</t>
    </r>
    <r>
      <rPr>
        <sz val="10"/>
        <color theme="1" tint="0.14999847407452621"/>
        <rFont val="Consolas"/>
        <family val="3"/>
        <charset val="204"/>
      </rPr>
      <t xml:space="preserve"> Заказчика</t>
    </r>
  </si>
  <si>
    <r>
      <t xml:space="preserve">Расценка на установку,монтаж и сборку базовой радиостанции </t>
    </r>
    <r>
      <rPr>
        <sz val="10"/>
        <color rgb="FF0000FF"/>
        <rFont val="Consolas"/>
        <family val="3"/>
        <charset val="204"/>
      </rPr>
      <t>на устанавливаемых,существующих конструкциях.</t>
    </r>
    <r>
      <rPr>
        <sz val="10"/>
        <rFont val="Consolas"/>
        <family val="3"/>
        <charset val="204"/>
      </rPr>
      <t xml:space="preserve">
- включает маркировку имиджевыми и идентификационными наклейками всех проложенных кабелей и самой БС
- включает получение всех необходимых согласований на размещение БС, в т.ч. и с собствениками жилых помещений, владельцами зданий,территорий
- включает получение всех разрешительных документов
- включает оформление исполнительной документации по МР</t>
    </r>
  </si>
  <si>
    <r>
      <t xml:space="preserve">ПИР, СМР: Монтаж медножильной фидерной линии </t>
    </r>
    <r>
      <rPr>
        <sz val="10"/>
        <color rgb="FF0000FF"/>
        <rFont val="Consolas"/>
        <family val="3"/>
        <charset val="204"/>
      </rPr>
      <t>240 В</t>
    </r>
    <r>
      <rPr>
        <sz val="10"/>
        <rFont val="Consolas"/>
        <family val="3"/>
        <charset val="204"/>
      </rPr>
      <t xml:space="preserve"> методом подвеса на трубостойки, включая кабель, трубостойки, анкера и расходные материалы.</t>
    </r>
  </si>
  <si>
    <t>Расценка для прокладки радиофидера распределительного для сетей проводного радиовещания.
- включает (при необходимости) стальные или биметаллические провода диаметром от 3 мм для организации фидерной линии
- включает получение всех необходимых согласований на размещение БС, в т.ч. и с собствениками жилых помещений, владельцами зданий,территорий
- включает оформление исполнительной документации по МР</t>
  </si>
  <si>
    <t>Расценка на радиофикацию подъездов (для многоподъездных/секционных домов/зданий)
- включает,в т.ч., прокладку и монтаж кабеля по кабельному каналу от установленного оборудования
- включает получение всех необходимых согласований, в т.ч. и с собственниками жилых помещений, владельцами зданий,территорий
- включает маркировку имиджевыми идентификационными наклейками,  с учетом стоимости кабеля, прочих материалов
- включает оформление исполнительной документации по МР</t>
  </si>
  <si>
    <r>
      <t xml:space="preserve">Расценки на прокладку абонентских линий радио или домофонии (3 способа прокладки)
это основные расценки для линий домофонии </t>
    </r>
    <r>
      <rPr>
        <sz val="10"/>
        <color rgb="FF0000FF"/>
        <rFont val="Consolas"/>
        <family val="3"/>
        <charset val="204"/>
      </rPr>
      <t>внутри квартир,</t>
    </r>
    <r>
      <rPr>
        <sz val="10"/>
        <color theme="1" tint="4.9989318521683403E-2"/>
        <rFont val="Consolas"/>
        <family val="3"/>
        <charset val="204"/>
      </rPr>
      <t>от распределительных коробок АГС или абонентского оборудования (роутеров и пр.) до аудиотрубок/IP-трубок, абонентских видеодомофонов/абонентских видеопанелей планшетного типа
это основные расценки для линий домофонии,телеметрии,радио и пр. услуг за пределами квартир,от распределительных коробок/оконечных устройств ДРС или от оборудования (блоков сопряжения и др.) до квартир ,</t>
    </r>
    <r>
      <rPr>
        <sz val="10"/>
        <color rgb="FF0000FF"/>
        <rFont val="Consolas"/>
        <family val="3"/>
        <charset val="204"/>
      </rPr>
      <t>в случаях когда под эти услуги не используется линия в проложенной АГС СПД.</t>
    </r>
    <r>
      <rPr>
        <sz val="10"/>
        <color theme="1" tint="4.9989318521683403E-2"/>
        <rFont val="Consolas"/>
        <family val="3"/>
        <charset val="204"/>
      </rPr>
      <t xml:space="preserve">
- включает,в т.ч. и прокладку UTP для случаев монтажа IP-трубок в качестве аудиотрубок,видеопанелей/планшетов в квартирах </t>
    </r>
    <r>
      <rPr>
        <sz val="10"/>
        <color rgb="FF0000FF"/>
        <rFont val="Consolas"/>
        <family val="3"/>
        <charset val="204"/>
      </rPr>
      <t>(к расценкам 6.62.2.и 6.62.3)</t>
    </r>
    <r>
      <rPr>
        <sz val="10"/>
        <color theme="1" tint="4.9989318521683403E-2"/>
        <rFont val="Consolas"/>
        <family val="3"/>
        <charset val="204"/>
      </rPr>
      <t xml:space="preserve">
- включает получение всех необходимых согласований, в т.ч. и с собственниками жилых помещений, владельцами зданий,территорий
- включает маркировку имиджевыми и идентификационными наклейками
- включает оформление исполнительной документации по МР</t>
    </r>
  </si>
  <si>
    <t>Расценка на монтаж коробки радиотрансляционной РОН/РОН 2 при строительстве сетей радиофикации
- включает получение всех необходимых согласований, в т.ч. и с собственниками жилых помещений, владельцами зданий,территорий
- включает маркировку имиджевыми и идентификационными наклейками (при необходимости)
- включает оформление исполнительной документации по МР</t>
  </si>
  <si>
    <t>Расценка на монтаж трансформатора ТАМУ
- включает все работы по установке,креплению и подключению трансоформатора
- включает восстановление отделки/покраски поверхностей после установки
- включает получение всех необходимых согласований, в т.ч. и с собственниками жилых помещений, владельцами зданий,территорий 
- включает оформление исполнительной документации по МР</t>
  </si>
  <si>
    <r>
      <t xml:space="preserve">Расценка на монтаж разветвительной коробки (монтажной ,распаечной)
- включает все работы по установке,креплению и расключению разветвительной коробки открытого или скрытого типа
- включает восстановление отделки/покраски поверхностей после установки
- включает получение всех необходимых согласований, в т.ч. и с собственниками жилых помещений, владельцами зданий,территорий
- количество вводов согласовать на этапе ПИР с Заказчиком
</t>
    </r>
    <r>
      <rPr>
        <sz val="10"/>
        <color rgb="FF0000FF"/>
        <rFont val="Consolas"/>
        <family val="3"/>
        <charset val="204"/>
      </rPr>
      <t>- не применяется совместно с расценками на АГС (6.38-6.59).</t>
    </r>
    <r>
      <rPr>
        <sz val="10"/>
        <rFont val="Consolas"/>
        <family val="3"/>
        <charset val="204"/>
      </rPr>
      <t xml:space="preserve">
- включает оформление исполнительной документации по МР</t>
    </r>
  </si>
  <si>
    <r>
      <t xml:space="preserve">Расценка на установку абонентской розетки открытого или скрытого типа
- применяется для концевой заделки существующих абонентских линий
</t>
    </r>
    <r>
      <rPr>
        <sz val="10"/>
        <color rgb="FF0000FF"/>
        <rFont val="Consolas"/>
        <family val="3"/>
        <charset val="204"/>
      </rPr>
      <t xml:space="preserve">- не применяется для вновь прокладываемых абонентских линий 
- не применяется совместно с расценками на АГС (6.38-6.59)
</t>
    </r>
    <r>
      <rPr>
        <sz val="10"/>
        <rFont val="Consolas"/>
        <family val="3"/>
        <charset val="204"/>
      </rPr>
      <t xml:space="preserve">- включает монтаж наружной/внутренней абонентской розетки (при необходимости)
- включает устройство, при необходимости, отверстия в стене с  заделкой (с установкой гильз) для перекладывания подключаемых существующих абонентских линий,  устройство гнезд для подрозетников 
- включает восстановление отделки/покраски поверхностей после установки
- включает в себя розетки типа RJ-45/11,ОРА,РПВ,ТВ одиночные разъем F.Тип розетки определяется Заказчиком в составе заказа
- подлежит обязательному согласованию с Заказчиком на этапе ПИР с предоставлением образцов
- при необходимости включает в себя согласование с Застройщиком,УК или Заказчиком со стороны клиента/абонента
- включает маркировку имиджевыми, идентификационными наклейками (при необходимости)
</t>
    </r>
    <r>
      <rPr>
        <sz val="10"/>
        <color rgb="FF0000FF"/>
        <rFont val="Consolas"/>
        <family val="3"/>
        <charset val="204"/>
      </rPr>
      <t>- не включает стоимость кабеля</t>
    </r>
  </si>
  <si>
    <t>Расценка на монтаж оборудования ГО и ЧС
- включает восстановление отделки/покраски поверхностей после монтажа
- включает получение всех необходимых согласований на размещение оборудования, в т.ч. и с собствениками жилых помещений, владельцами зданий,территорий
- включает маркировку имиджевыми, идентификационными наклейками (при необходимости)
- включает оформление исполнительной документации по МР</t>
  </si>
  <si>
    <r>
      <t xml:space="preserve">Расценка на монтаж этажного оповещателя </t>
    </r>
    <r>
      <rPr>
        <sz val="10"/>
        <color rgb="FF0000FF"/>
        <rFont val="Consolas"/>
        <family val="3"/>
        <charset val="204"/>
      </rPr>
      <t>30 В</t>
    </r>
    <r>
      <rPr>
        <sz val="10"/>
        <rFont val="Consolas"/>
        <family val="3"/>
        <charset val="204"/>
      </rPr>
      <t xml:space="preserve">
</t>
    </r>
    <r>
      <rPr>
        <sz val="10"/>
        <color rgb="FF00B050"/>
        <rFont val="Consolas"/>
        <family val="3"/>
        <charset val="204"/>
      </rPr>
      <t>- справочно:30 В это величина входного напряжения в вольтах</t>
    </r>
    <r>
      <rPr>
        <sz val="10"/>
        <rFont val="Consolas"/>
        <family val="3"/>
        <charset val="204"/>
      </rPr>
      <t xml:space="preserve">
- включает восстановление отделки/покраски поверхностей после монтажа
- включает получение всех необходимых согласований на размещение оборудования, в т.ч. и с собствениками жилых помещений, владельцами зданий,территорий
- включает маркировку имиджевыми, идентификационными наклейками (при необходимости)
- включает оформление исполнительной документации по МР</t>
    </r>
  </si>
  <si>
    <r>
      <t xml:space="preserve">Расценка на монтаж рупорного громкоговорителя </t>
    </r>
    <r>
      <rPr>
        <sz val="10"/>
        <color rgb="FF0000FF"/>
        <rFont val="Consolas"/>
        <family val="3"/>
        <charset val="204"/>
      </rPr>
      <t>100 В</t>
    </r>
    <r>
      <rPr>
        <sz val="10"/>
        <rFont val="Consolas"/>
        <family val="3"/>
        <charset val="204"/>
      </rPr>
      <t xml:space="preserve">
</t>
    </r>
    <r>
      <rPr>
        <sz val="10"/>
        <color rgb="FF00B050"/>
        <rFont val="Consolas"/>
        <family val="3"/>
        <charset val="204"/>
      </rPr>
      <t>- справочно:100 В это величина входного напряжения в вольтах</t>
    </r>
    <r>
      <rPr>
        <sz val="10"/>
        <rFont val="Consolas"/>
        <family val="3"/>
        <charset val="204"/>
      </rPr>
      <t xml:space="preserve">
- включает восстановление отделки/покраски поверхностей после монтажа
- включает получение всех необходимых согласований на размещение оборудования, в т.ч. и с собствениками жилых помещений, владельцами зданий,территорий
- включает маркировку имиджевыми, идентификационными наклейками (при необходимости)
- включает оформление исполнительной документации по МР</t>
    </r>
  </si>
  <si>
    <r>
      <t xml:space="preserve">Расценка </t>
    </r>
    <r>
      <rPr>
        <sz val="10"/>
        <color rgb="FF0000FF"/>
        <rFont val="Consolas"/>
        <family val="3"/>
        <charset val="204"/>
      </rPr>
      <t>на ПИР</t>
    </r>
    <r>
      <rPr>
        <sz val="10"/>
        <rFont val="Consolas"/>
        <family val="3"/>
        <charset val="204"/>
      </rPr>
      <t xml:space="preserve"> под установку </t>
    </r>
    <r>
      <rPr>
        <sz val="10"/>
        <color rgb="FF0000FF"/>
        <rFont val="Consolas"/>
        <family val="3"/>
        <charset val="204"/>
      </rPr>
      <t>шлагбаума/откатных приводов ворот/цепных барьеров и болларда</t>
    </r>
    <r>
      <rPr>
        <sz val="10"/>
        <rFont val="Consolas"/>
        <family val="3"/>
        <charset val="204"/>
      </rPr>
      <t xml:space="preserve">
</t>
    </r>
    <r>
      <rPr>
        <sz val="10"/>
        <color rgb="FF00B050"/>
        <rFont val="Consolas"/>
        <family val="3"/>
        <charset val="204"/>
      </rPr>
      <t>- справочно : шлагбаум- это устройство для контроля въезда и выезда транспорта на закрытых огороженных территориях и других объектах,состоящее из стрелы, поворачивающейся вокруг оси. Могут быть вертикальными и горизонтальными.
- справочно: боллард- автоматический выдвижной столб (противотаранный или заградительный)</t>
    </r>
    <r>
      <rPr>
        <sz val="10"/>
        <rFont val="Consolas"/>
        <family val="3"/>
        <charset val="204"/>
      </rPr>
      <t xml:space="preserve">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
- согласование логики работы чуствительных элементов с Заказчиком со стороны клиента/абонента на этапе ПИР на установку шлагбаума/откатных приводов ворот/цепных барьеров и болларда
- включает разработку и оформление проекта на установку, подготовку полного комплекта необходимых документов для СМР на установку </t>
    </r>
  </si>
  <si>
    <r>
      <t xml:space="preserve">СМР: Комплекс работ.  Включено, не ограничиваясь перечисленным: устройство бетонного основания, монтаж тумбы шлагбаума/ </t>
    </r>
    <r>
      <rPr>
        <sz val="10"/>
        <color rgb="FF0000FF"/>
        <rFont val="Consolas"/>
        <family val="3"/>
        <charset val="204"/>
      </rPr>
      <t>установка узлов креплений на устроенном основании для откатных ворот/ устройство оснований для цепных барьеров</t>
    </r>
    <r>
      <rPr>
        <sz val="10"/>
        <color theme="1"/>
        <rFont val="Consolas"/>
        <family val="3"/>
        <charset val="204"/>
      </rPr>
      <t xml:space="preserve"> (включая Элементы механики), установка стрелы,  организация трасы электропитания </t>
    </r>
    <r>
      <rPr>
        <sz val="10"/>
        <color rgb="FF0000FF"/>
        <rFont val="Consolas"/>
        <family val="3"/>
        <charset val="204"/>
      </rPr>
      <t xml:space="preserve">до 20 м </t>
    </r>
    <r>
      <rPr>
        <sz val="10"/>
        <color theme="1"/>
        <rFont val="Consolas"/>
        <family val="3"/>
        <charset val="204"/>
      </rPr>
      <t xml:space="preserve">и расключение (включая стоимость материалов), восстановление покрытия проезжей части/тротуара/элементов благоустройства; монтаж 2-х столбиков и фотоэлементов безопасности, считывателя, кодовой панели (включая монтаж кронштейнов и стоек); монтаж сигнальной лампы, монтаж антенны радиоканала, опоры под стрелу, настройка, тестирование, стоимость расходных материалов.  
</t>
    </r>
    <r>
      <rPr>
        <sz val="10"/>
        <color rgb="FF0000FF"/>
        <rFont val="Consolas"/>
        <family val="3"/>
        <charset val="204"/>
      </rPr>
      <t>Не включает стоимость шлагбаума и абонентские комплекты.</t>
    </r>
  </si>
  <si>
    <r>
      <t xml:space="preserve">Расценка на </t>
    </r>
    <r>
      <rPr>
        <sz val="10"/>
        <color rgb="FF0000FF"/>
        <rFont val="Consolas"/>
        <family val="3"/>
        <charset val="204"/>
      </rPr>
      <t>СМР</t>
    </r>
    <r>
      <rPr>
        <sz val="10"/>
        <rFont val="Consolas"/>
        <family val="3"/>
        <charset val="204"/>
      </rPr>
      <t xml:space="preserve"> по установке </t>
    </r>
    <r>
      <rPr>
        <sz val="10"/>
        <color rgb="FF0000FF"/>
        <rFont val="Consolas"/>
        <family val="3"/>
        <charset val="204"/>
      </rPr>
      <t>шлагбаума/откатных приводов ворот/цепных барьеров и болларда</t>
    </r>
    <r>
      <rPr>
        <sz val="10"/>
        <rFont val="Consolas"/>
        <family val="3"/>
        <charset val="204"/>
      </rPr>
      <t xml:space="preserve">
- не включает стоимость шлагбаума/болларда
- включает земляные и фундаментные работы для болларда, включая организацию отверстий/котлованов с засыпкой, согласно технологии монтажа боллардов
- если длина кабеля электропитания превышает 20 м, то дополнительная длина кабеля учитывается </t>
    </r>
    <r>
      <rPr>
        <sz val="10"/>
        <color rgb="FF0000FF"/>
        <rFont val="Consolas"/>
        <family val="3"/>
        <charset val="204"/>
      </rPr>
      <t>по расценкам</t>
    </r>
    <r>
      <rPr>
        <sz val="10"/>
        <rFont val="Consolas"/>
        <family val="3"/>
        <charset val="204"/>
      </rPr>
      <t xml:space="preserve"> </t>
    </r>
    <r>
      <rPr>
        <sz val="10"/>
        <color rgb="FF0000FF"/>
        <rFont val="Consolas"/>
        <family val="3"/>
        <charset val="204"/>
      </rPr>
      <t>6.117-6.118</t>
    </r>
    <r>
      <rPr>
        <sz val="10"/>
        <rFont val="Consolas"/>
        <family val="3"/>
        <charset val="204"/>
      </rPr>
      <t xml:space="preserve"> </t>
    </r>
  </si>
  <si>
    <r>
      <t>ПИР,СМР: Комплекс работ.  Включено, не ограничиваясь перечисленным: (включая земляные работы при необходимости и подготовку основания (включая стоимость материалов), монтаж стойки светофора; монтаж светофора; организация трассы электропитания длиной</t>
    </r>
    <r>
      <rPr>
        <sz val="10"/>
        <color rgb="FF0000FF"/>
        <rFont val="Consolas"/>
        <family val="3"/>
        <charset val="204"/>
      </rPr>
      <t xml:space="preserve"> до 5 м</t>
    </r>
    <r>
      <rPr>
        <sz val="10"/>
        <color theme="1"/>
        <rFont val="Consolas"/>
        <family val="3"/>
        <charset val="204"/>
      </rPr>
      <t xml:space="preserve"> и расключение (включая стоимость материалов); подключение коммутационного устройства (реле), подключение к контроллеру/блоку управления шлагбаума; восстановление покрытия проезжей части/тротуара/элементов благоустройства; оформление разрешительных документов; подготовка и сдача исполнительной документации.</t>
    </r>
    <r>
      <rPr>
        <b/>
        <sz val="10"/>
        <color rgb="FFFF0000"/>
        <rFont val="Consolas"/>
        <family val="3"/>
        <charset val="204"/>
      </rPr>
      <t xml:space="preserve"> 
</t>
    </r>
    <r>
      <rPr>
        <b/>
        <sz val="10"/>
        <color rgb="FF0000FF"/>
        <rFont val="Consolas"/>
        <family val="3"/>
        <charset val="204"/>
      </rPr>
      <t xml:space="preserve">Не включает стоимость стойки, светофора, коммутационного устройства. </t>
    </r>
  </si>
  <si>
    <t>Расценка на монтаж обогревателя с термостатом для шлагбаума/болларда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t>
  </si>
  <si>
    <t>Расценка на монтаж индукционной петли
- согласование логики работы чувствительных элементов с Заказчиком со стороны клиента/абонента на этапе ПИР 
- включает получение всех необходимых согласований и разрешений, включая собственников жилых помещений, владельцев зданий и территорий (при необходимости) на закладку чувствительных элементов с нарушением благоустройства
- включает оформление исполнительной документации по МР</t>
  </si>
  <si>
    <r>
      <t>Расценка на монтаж светофора к шлагбауму/болларду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 (для варианта установки светофора на отдельной стойке отдельно от шлагбаума/болларда и если работы не были проведены в составе ПИР на установку самого шлагбаума/болларда)
- включает разработку и оформление проекта на установку, подготовку полного комплекта необходимых документов для СМР на установку
- если длина кабеля электропитания превышает</t>
    </r>
    <r>
      <rPr>
        <sz val="10"/>
        <color rgb="FF0000FF"/>
        <rFont val="Consolas"/>
        <family val="3"/>
        <charset val="204"/>
      </rPr>
      <t xml:space="preserve"> 5 м</t>
    </r>
    <r>
      <rPr>
        <sz val="10"/>
        <rFont val="Consolas"/>
        <family val="3"/>
        <charset val="204"/>
      </rPr>
      <t xml:space="preserve">, то дополнительная длина кабеля учитывается </t>
    </r>
    <r>
      <rPr>
        <sz val="10"/>
        <color rgb="FF0000FF"/>
        <rFont val="Consolas"/>
        <family val="3"/>
        <charset val="204"/>
      </rPr>
      <t xml:space="preserve">по расценкам 6.117-6.118 </t>
    </r>
  </si>
  <si>
    <t xml:space="preserve">Расценка на монтаж Ethernet-реле к шлагбауму/болларду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 
- включает ПНР,проверку и демонстрацию работоспособности
</t>
  </si>
  <si>
    <t>Расценка на монтаж дополнительного столбика под фотоэлемент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t>
  </si>
  <si>
    <r>
      <t xml:space="preserve">Установка и монтаж турникета </t>
    </r>
    <r>
      <rPr>
        <sz val="10"/>
        <color rgb="FF0000FF"/>
        <rFont val="Consolas"/>
        <family val="3"/>
        <charset val="204"/>
      </rPr>
      <t>внутри помещения</t>
    </r>
    <r>
      <rPr>
        <sz val="10"/>
        <color rgb="FF000000"/>
        <rFont val="Consolas"/>
        <family val="3"/>
        <charset val="204"/>
      </rPr>
      <t xml:space="preserve"> (полуростовый, трипод, роторный) </t>
    </r>
  </si>
  <si>
    <r>
      <t xml:space="preserve">Установка и монтаж полноростового турникета </t>
    </r>
    <r>
      <rPr>
        <sz val="10"/>
        <color rgb="FF0000FF"/>
        <rFont val="Consolas"/>
        <family val="3"/>
        <charset val="204"/>
      </rPr>
      <t xml:space="preserve">внутри помещения </t>
    </r>
  </si>
  <si>
    <r>
      <t>Установка и монтаж турникета</t>
    </r>
    <r>
      <rPr>
        <sz val="10"/>
        <color rgb="FF0000FF"/>
        <rFont val="Consolas"/>
        <family val="3"/>
        <charset val="204"/>
      </rPr>
      <t xml:space="preserve"> уличного исполнения</t>
    </r>
    <r>
      <rPr>
        <sz val="10"/>
        <color rgb="FF000000"/>
        <rFont val="Consolas"/>
        <family val="3"/>
        <charset val="204"/>
      </rPr>
      <t xml:space="preserve"> (полуростовый, трипод, роторный) </t>
    </r>
  </si>
  <si>
    <r>
      <t xml:space="preserve">Монтаж/установка полноростового турникета </t>
    </r>
    <r>
      <rPr>
        <sz val="10"/>
        <color rgb="FF0000FF"/>
        <rFont val="Consolas"/>
        <family val="3"/>
        <charset val="204"/>
      </rPr>
      <t>уличного исполнения</t>
    </r>
  </si>
  <si>
    <r>
      <t xml:space="preserve">Установка и монтаж турникета </t>
    </r>
    <r>
      <rPr>
        <sz val="10"/>
        <color rgb="FF0000FF"/>
        <rFont val="Consolas"/>
        <family val="3"/>
        <charset val="204"/>
      </rPr>
      <t xml:space="preserve">уличного исполнения (полуростовый, трипод, роторный) </t>
    </r>
  </si>
  <si>
    <r>
      <t>Монтаж/установка полноростового турникета</t>
    </r>
    <r>
      <rPr>
        <sz val="10"/>
        <color rgb="FF0000FF"/>
        <rFont val="Consolas"/>
        <family val="3"/>
        <charset val="204"/>
      </rPr>
      <t xml:space="preserve"> уличного исполнения</t>
    </r>
  </si>
  <si>
    <r>
      <t xml:space="preserve">ПИР,СМР: Комплекс работ. Включено, не ограничиваясь перечисленным: подготовка поверхности к монтажу, установка и монтаж  полноростового турникета;  монтаж дополнительных конструкций ограждения по ширине прохода: ограждение, калитка, прочие конструкции; установка блока питания, организация трассы электропитания длиной </t>
    </r>
    <r>
      <rPr>
        <sz val="10"/>
        <color rgb="FF0000FF"/>
        <rFont val="Consolas"/>
        <family val="3"/>
        <charset val="204"/>
      </rPr>
      <t>до 20 м</t>
    </r>
    <r>
      <rPr>
        <sz val="10"/>
        <color theme="1"/>
        <rFont val="Consolas"/>
        <family val="3"/>
        <charset val="204"/>
      </rPr>
      <t xml:space="preserve"> и расключение (включая стоимость материалов);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</si>
  <si>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Расценка на установку и монтаж полноростовых турникетов </t>
    </r>
    <r>
      <rPr>
        <sz val="10"/>
        <color rgb="FF0000FF"/>
        <rFont val="Consolas"/>
        <family val="3"/>
        <charset val="204"/>
      </rPr>
      <t>в помещениях</t>
    </r>
    <r>
      <rPr>
        <sz val="10"/>
        <rFont val="Consolas"/>
        <family val="3"/>
        <charset val="204"/>
      </rPr>
      <t xml:space="preserve">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
- не включает работы для турникетов типа полуростовый, трипод, роторный 
- если длина кабеля электропитания превышает </t>
    </r>
    <r>
      <rPr>
        <sz val="10"/>
        <color rgb="FF0000FF"/>
        <rFont val="Consolas"/>
        <family val="3"/>
        <charset val="204"/>
      </rPr>
      <t>20 м</t>
    </r>
    <r>
      <rPr>
        <sz val="10"/>
        <rFont val="Consolas"/>
        <family val="3"/>
        <charset val="204"/>
      </rPr>
      <t xml:space="preserve">, то дополнительная длина кабеля учитывается </t>
    </r>
    <r>
      <rPr>
        <sz val="10"/>
        <color rgb="FF0000FF"/>
        <rFont val="Consolas"/>
        <family val="3"/>
        <charset val="204"/>
      </rPr>
      <t xml:space="preserve">по расценкам 6.117-6.118 </t>
    </r>
    <r>
      <rPr>
        <sz val="10"/>
        <rFont val="Consolas"/>
        <family val="3"/>
        <charset val="204"/>
      </rPr>
      <t xml:space="preserve">
- включает оформление исполнительной документации по МР </t>
    </r>
  </si>
  <si>
    <r>
      <t xml:space="preserve">Расценка на установку и монтаж турникетов в помещениях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
- не включает работы для полноростовых турникетов
- если длина кабеля электропитания превышает </t>
    </r>
    <r>
      <rPr>
        <sz val="10"/>
        <color rgb="FF0000FF"/>
        <rFont val="Consolas"/>
        <family val="3"/>
        <charset val="204"/>
      </rPr>
      <t xml:space="preserve">20 </t>
    </r>
    <r>
      <rPr>
        <sz val="10"/>
        <rFont val="Consolas"/>
        <family val="3"/>
        <charset val="204"/>
      </rPr>
      <t xml:space="preserve">м, то дополнительная длина кабеля учитывается </t>
    </r>
    <r>
      <rPr>
        <sz val="10"/>
        <color rgb="FF0000FF"/>
        <rFont val="Consolas"/>
        <family val="3"/>
        <charset val="204"/>
      </rPr>
      <t xml:space="preserve">по расценкам 6.117-6.118  </t>
    </r>
    <r>
      <rPr>
        <sz val="10"/>
        <rFont val="Consolas"/>
        <family val="3"/>
        <charset val="204"/>
      </rPr>
      <t xml:space="preserve">
- включает оформление исполнительной документации по МР</t>
    </r>
  </si>
  <si>
    <r>
      <t xml:space="preserve">ПИР, СМР: Комплекс работ. Включено, не ограничиваясь перечисленным: подготовка поверхности к монтажу, установка и монтаж  турникета вне зависимости от конструкции (полуростовый, трипод, роторный); монтаж дополнительных конструкций по ширине прохода: ограждение, калитка, прочие конструкции; монтаж блока питания, организация трассы электропитания длиной </t>
    </r>
    <r>
      <rPr>
        <sz val="10"/>
        <color rgb="FF0000FF"/>
        <rFont val="Consolas"/>
        <family val="3"/>
        <charset val="204"/>
      </rPr>
      <t xml:space="preserve">до 20 м </t>
    </r>
    <r>
      <rPr>
        <sz val="10"/>
        <color theme="1"/>
        <rFont val="Consolas"/>
        <family val="3"/>
        <charset val="204"/>
      </rPr>
      <t xml:space="preserve">и расключение (включая стоимость материалов);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</si>
  <si>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ПИР,СМР: Комплекс работ. Включено, не ограничиваясь перечисленным: подготовка поверхности к монтажу (включая земляные работы с оформлением ордеров при необходимости и подготовку бетонного основания с учетом стоимости бетона), установка и монтаж  турникета вне зависимости от конструкции (полуростовый, трипод, роторный); монтаж дополнительных конструкций по ширине прохода: ограждение, калитка, прочие конструкции; установка блока питания; организация трассы электропитания длиной </t>
    </r>
    <r>
      <rPr>
        <sz val="10"/>
        <color rgb="FF0000FF"/>
        <rFont val="Consolas"/>
        <family val="3"/>
        <charset val="204"/>
      </rPr>
      <t>до 20 м</t>
    </r>
    <r>
      <rPr>
        <sz val="10"/>
        <color theme="1"/>
        <rFont val="Consolas"/>
        <family val="3"/>
        <charset val="204"/>
      </rPr>
      <t xml:space="preserve"> и расключение (включая стоимость материалов); восстановление покрытий проезжей части/тротуаров/благоустройства;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оформление разрешительных документов;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</si>
  <si>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Расценка на установку и монтаж турникетов</t>
    </r>
    <r>
      <rPr>
        <sz val="10"/>
        <color rgb="FF0000FF"/>
        <rFont val="Consolas"/>
        <family val="3"/>
        <charset val="204"/>
      </rPr>
      <t xml:space="preserve"> уличных</t>
    </r>
    <r>
      <rPr>
        <sz val="10"/>
        <rFont val="Consolas"/>
        <family val="3"/>
        <charset val="204"/>
      </rPr>
      <t xml:space="preserve">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
- не включает работы для полноростовых турникетов
- если длина кабеля электропитания превышает </t>
    </r>
    <r>
      <rPr>
        <sz val="10"/>
        <color rgb="FF0000FF"/>
        <rFont val="Consolas"/>
        <family val="3"/>
        <charset val="204"/>
      </rPr>
      <t>20 м</t>
    </r>
    <r>
      <rPr>
        <sz val="10"/>
        <rFont val="Consolas"/>
        <family val="3"/>
        <charset val="204"/>
      </rPr>
      <t xml:space="preserve">, то дополнительная длина кабеля учитывается </t>
    </r>
    <r>
      <rPr>
        <sz val="10"/>
        <color rgb="FF0000FF"/>
        <rFont val="Consolas"/>
        <family val="3"/>
        <charset val="204"/>
      </rPr>
      <t xml:space="preserve">по расценкам 6.117-6.118 </t>
    </r>
    <r>
      <rPr>
        <sz val="10"/>
        <rFont val="Consolas"/>
        <family val="3"/>
        <charset val="204"/>
      </rPr>
      <t xml:space="preserve">
- включает выполнение исполнительной топосъёмки (при необходимости)
- включает оформление исполнительной документации по МР </t>
    </r>
  </si>
  <si>
    <r>
      <t xml:space="preserve">ПИР,СМР: Комплекс работ. Включено, не ограничиваясь перечисленным: подготовка поверхности к монтажу (включая земляные работы с оформлением ордеров при необходимости и подготовку бетонного основания с учетом стоимости бетона), установка и монтаж  полноростового турникета;  монтаж дополнительных конструкций ограждения по ширине прохода: ограждение, калитка, прочие конструкции; установка блока питания, организация трассы электропитания длиной </t>
    </r>
    <r>
      <rPr>
        <sz val="10"/>
        <color rgb="FF0000FF"/>
        <rFont val="Consolas"/>
        <family val="3"/>
        <charset val="204"/>
      </rPr>
      <t xml:space="preserve">до 20 м </t>
    </r>
    <r>
      <rPr>
        <sz val="10"/>
        <color theme="1"/>
        <rFont val="Consolas"/>
        <family val="3"/>
        <charset val="204"/>
      </rPr>
      <t xml:space="preserve">и расключение (включая стоимость материалов); восстановление  покрытий проезжей части/тротуаров, восстановление элементов благоустройства; монтаж блока управления; при необходимости монтаж дополнительного считывателя; подключение к контроллеру; настройка, тестирование, стоимость расходных материалов; оформление разрешительных документов; подготовка и сдача исполнительной документации.
</t>
    </r>
    <r>
      <rPr>
        <b/>
        <sz val="10"/>
        <color rgb="FF0000FF"/>
        <rFont val="Consolas"/>
        <family val="3"/>
        <charset val="204"/>
      </rPr>
      <t>Не включает стоимость турникета и дополнительных конструкций  (ограждение, калитка, прочие конструкции).</t>
    </r>
  </si>
  <si>
    <r>
      <t xml:space="preserve">Расценка на установку и монтаж полноростовых турникетов </t>
    </r>
    <r>
      <rPr>
        <sz val="10"/>
        <color rgb="FF0000FF"/>
        <rFont val="Consolas"/>
        <family val="3"/>
        <charset val="204"/>
      </rPr>
      <t>уличных</t>
    </r>
    <r>
      <rPr>
        <sz val="10"/>
        <rFont val="Consolas"/>
        <family val="3"/>
        <charset val="204"/>
      </rPr>
      <t xml:space="preserve">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
- не включает работы для турникетов типа полуростовый, трипод, роторный 
- если длина кабеля электропитания превышает </t>
    </r>
    <r>
      <rPr>
        <sz val="10"/>
        <color rgb="FF0000FF"/>
        <rFont val="Consolas"/>
        <family val="3"/>
        <charset val="204"/>
      </rPr>
      <t>20 м</t>
    </r>
    <r>
      <rPr>
        <sz val="10"/>
        <rFont val="Consolas"/>
        <family val="3"/>
        <charset val="204"/>
      </rPr>
      <t>, то дополнительная длина кабеля учитывается п</t>
    </r>
    <r>
      <rPr>
        <sz val="10"/>
        <color rgb="FF0000FF"/>
        <rFont val="Consolas"/>
        <family val="3"/>
        <charset val="204"/>
      </rPr>
      <t xml:space="preserve">о расценкам 6.117-6.118 </t>
    </r>
    <r>
      <rPr>
        <sz val="10"/>
        <rFont val="Consolas"/>
        <family val="3"/>
        <charset val="204"/>
      </rPr>
      <t xml:space="preserve">
- включает выполнение исполнительной топосъёмки (при необходимости)
- включает оформление исполнительной документации по МР  </t>
    </r>
  </si>
  <si>
    <t>Расценка на подключение, программирование СКУД
- применяется в качестве ПНР на построенной СКУД, разово на весь комплекс на Объекте</t>
  </si>
  <si>
    <t>Расценка на установку и монтаж электросчетчика с радиомодулем для телеметрии
- комплекс работ по установке,монтажу и настройке электросчетчика с радиомодулем
- включает получение всех необходимых согласований и разрешений, включая собственников жилых помещений,владельцев зданий и территорий (при необходимости) на размещение оконечного оборудования телеметрии</t>
  </si>
  <si>
    <r>
      <t xml:space="preserve">Расценка на проверку/аудит </t>
    </r>
    <r>
      <rPr>
        <sz val="10"/>
        <color rgb="FF0000FF"/>
        <rFont val="Consolas"/>
        <family val="3"/>
        <charset val="204"/>
      </rPr>
      <t xml:space="preserve">существующей системы АСКУЭ </t>
    </r>
    <r>
      <rPr>
        <sz val="10"/>
        <color theme="1" tint="0.14999847407452621"/>
        <rFont val="Consolas"/>
        <family val="3"/>
        <charset val="204"/>
      </rPr>
      <t>в МКД с обследованием
- результаты проверки/аудита предоставляются в виде по требованию Заказчика (включая бумажный и электронный вариант)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службы,УК/ТСЖ и пр.</t>
    </r>
  </si>
  <si>
    <t>Расценки на ПИР для организации системы АСКУЭ в МКД без обследования/с обследованием
- результаты ПИР предоставляются в виде по требованию Заказчика (включая бумажный и электронный вариант)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службы,УК/ТСЖ и пр.</t>
  </si>
  <si>
    <t xml:space="preserve">Проведение радиопланирования БС , определение зоны покрытия БС с предполагаемого места размещения. Составление карты покрытия. </t>
  </si>
  <si>
    <t>Расценки на обследование (ПИР) для выбора точки размещения БС телеметрии/проверки ранее установленной БС телеметрии
- результаты обследования/ПИР предоставляются в виде по требованию Заказчика (включая бумажный и электронный вариант)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службы,УК/ТСЖ и пр.</t>
  </si>
  <si>
    <t>Расценка на создание карты покрытия по выбору точки размещения БС (базовой станции) телеметрии (без организации выезда на объект)
-отчет с приложением карт-зон покрытия БС предоставляются в виде по требованию Заказчика (включая бумажный и электронный вариант)</t>
  </si>
  <si>
    <t>Расценка на установку,монтаж и ПНР модуля LoRa/NB-IoT (телеметрия)
- включает ПНР</t>
  </si>
  <si>
    <r>
      <t xml:space="preserve">Расценка на монтаж блока коммутации / конвертера/ концентратора (ПУ телеметрия)
- включает ПНР
- включает восстановление отделки/покраски поверхностей после монтажа
- включает получение всех необходимых согласований на размещение оборудования, в т.ч. и с собствениками жилых помещений, владельцами зданий,территорий
- включает маркировку имиджевыми, идентификационными наклейками (при необходимости)
</t>
    </r>
    <r>
      <rPr>
        <sz val="10"/>
        <color rgb="FF0000FF"/>
        <rFont val="Consolas"/>
        <family val="3"/>
        <charset val="204"/>
      </rPr>
      <t xml:space="preserve">- не включает стоимость кабеля UTP или КПСВВнг(А)-LS (или аналог). Кабель учитывать по расценкам 6.67-6.69
</t>
    </r>
    <r>
      <rPr>
        <sz val="10"/>
        <rFont val="Consolas"/>
        <family val="3"/>
        <charset val="204"/>
      </rPr>
      <t>- включает оформление исполнительной документации по МР</t>
    </r>
  </si>
  <si>
    <r>
      <t>ПИР, СМР прочие затраты, не ограничиваясь перечисленным: монтаж счетчика импульсов-регистратора до 10 каналов включительно на стену/в щит АСКУЭ, расшивка кабеля в блоке коммутации, тестирование производственного монтажа, с учетом стоимости материалов.</t>
    </r>
    <r>
      <rPr>
        <b/>
        <sz val="10"/>
        <color rgb="FFFF0000"/>
        <rFont val="Consolas"/>
        <family val="3"/>
        <charset val="204"/>
      </rPr>
      <t xml:space="preserve"> 
</t>
    </r>
    <r>
      <rPr>
        <b/>
        <sz val="10"/>
        <color rgb="FF0000FF"/>
        <rFont val="Consolas"/>
        <family val="3"/>
        <charset val="204"/>
      </rPr>
      <t>Без учета стоимости оборудования, организации линий электропитания и связи.</t>
    </r>
  </si>
  <si>
    <r>
      <t>ПИР, СМР прочие затраты, не ограничиваясь перечисленным: монтаж счетчика импульсов-регистратора свыше 10 каналов на стену/в щит АСКУЭ, расшивка кабеля в блоке коммутации, тестирование производственного монтажа, с учетом стоимости материалов.</t>
    </r>
    <r>
      <rPr>
        <b/>
        <sz val="10"/>
        <color rgb="FFFF0000"/>
        <rFont val="Consolas"/>
        <family val="3"/>
        <charset val="204"/>
      </rPr>
      <t xml:space="preserve"> 
</t>
    </r>
    <r>
      <rPr>
        <b/>
        <sz val="10"/>
        <color rgb="FF0000FF"/>
        <rFont val="Consolas"/>
        <family val="3"/>
        <charset val="204"/>
      </rPr>
      <t>Без учета стоимости оборудования, организации линий электропитания и связи.</t>
    </r>
  </si>
  <si>
    <r>
      <t xml:space="preserve">Расценка на установку счетчика импульсов-регистратора </t>
    </r>
    <r>
      <rPr>
        <sz val="10"/>
        <color rgb="FF0000FF"/>
        <rFont val="Consolas"/>
        <family val="3"/>
        <charset val="204"/>
      </rPr>
      <t>до 10 каналов включительно/свыше 10 каналов</t>
    </r>
    <r>
      <rPr>
        <sz val="10"/>
        <rFont val="Consolas"/>
        <family val="3"/>
        <charset val="204"/>
      </rPr>
      <t xml:space="preserve"> (ПУ телеметрия)
- включает ПНР
- включает восстановление отделки/покраски поверхностей после монтажа
- включает получение всех необходимых согласований на размещение оборудования, в т.ч. и с собствениками жилых помещений, владельцами зданий,территорий
- включает маркировку имиджевыми, идентификационными наклейками (при необходимости)
</t>
    </r>
    <r>
      <rPr>
        <sz val="10"/>
        <color rgb="FF0000FF"/>
        <rFont val="Consolas"/>
        <family val="3"/>
        <charset val="204"/>
      </rPr>
      <t xml:space="preserve">- не включает стоимость кабеля UTP или КПСВВнг(А)-LS (или аналог). Кабель учитывать по расценкам 6.67-6.69
</t>
    </r>
    <r>
      <rPr>
        <sz val="10"/>
        <rFont val="Consolas"/>
        <family val="3"/>
        <charset val="204"/>
      </rPr>
      <t>- включает оформление исполнительной документации по МР</t>
    </r>
  </si>
  <si>
    <t xml:space="preserve">Расценка на монтаж и подключение источника питания/ блока питания приборов учёта; PоЕ удлинителя/ сплиттера беспроводных/ проводных устройств
- включает все работы по установке,креплению и подключению. При этом монтируемые устройства не должны допускать открытый доступ к ним  третьих лиц
- включает восстановление отделки/покраски поверхностей после установки
- подключение эл. питания (220 В) допускается только от ВРУ УД Заказчика  или ВРУ дома по отдельному кабелю эл. питания.
- не допускается подключение к другим источникам 220 В,находящимся в открытом доступе </t>
  </si>
  <si>
    <t>Расценки на ПНР для приборов учёта (ПУ) для проводных/беспроводных решений
- включает демонстрацию работоспособности основному Заказчику /Потребителю</t>
  </si>
  <si>
    <r>
      <t xml:space="preserve">Расценка на установку и настройку в/камер внутренних </t>
    </r>
    <r>
      <rPr>
        <sz val="10"/>
        <color rgb="FF0000FF"/>
        <rFont val="Consolas"/>
        <family val="3"/>
        <charset val="204"/>
      </rPr>
      <t>для помещений жилых и офисных</t>
    </r>
    <r>
      <rPr>
        <sz val="10"/>
        <color theme="1" tint="4.9989318521683403E-2"/>
        <rFont val="Consolas"/>
        <family val="3"/>
        <charset val="204"/>
      </rPr>
      <t xml:space="preserve"> и оборудования Wi-Fi для </t>
    </r>
    <r>
      <rPr>
        <sz val="10"/>
        <color rgb="FF0000FF"/>
        <rFont val="Consolas"/>
        <family val="3"/>
        <charset val="204"/>
      </rPr>
      <t xml:space="preserve">помещений жилых и подъездов </t>
    </r>
    <r>
      <rPr>
        <sz val="10"/>
        <color theme="1" tint="4.9989318521683403E-2"/>
        <rFont val="Consolas"/>
        <family val="3"/>
        <charset val="204"/>
      </rPr>
      <t xml:space="preserve">
- включает установку монтажной коробки (степень защиты не менее IP 54, число выводов 4-6)
- включает заделку разъемов  UTP и подключения питания (в т.ч.POE-инжектор)
- включает подключение камеры  к порту коммутатора
- включает настройку изображения и фокуса
- включает маркировку имиджевыми идентификационными наклейками
- включает оформление разрешительных документов
- включает оформление исполнительной документации по МР
</t>
    </r>
    <r>
      <rPr>
        <sz val="10"/>
        <color rgb="FF0000FF"/>
        <rFont val="Consolas"/>
        <family val="3"/>
        <charset val="204"/>
      </rPr>
      <t>- не включает внутриподъездные в/камеры и сопуствующие работы. Такие работы учитывать по расценке 6.91</t>
    </r>
  </si>
  <si>
    <r>
      <t xml:space="preserve">Расценка на установку и настройку в/камер </t>
    </r>
    <r>
      <rPr>
        <sz val="10"/>
        <color rgb="FF0000FF"/>
        <rFont val="Consolas"/>
        <family val="3"/>
        <charset val="204"/>
      </rPr>
      <t xml:space="preserve">уличных </t>
    </r>
    <r>
      <rPr>
        <sz val="10"/>
        <color theme="1" tint="4.9989318521683403E-2"/>
        <rFont val="Consolas"/>
        <family val="3"/>
        <charset val="204"/>
      </rPr>
      <t xml:space="preserve">для В2С,В2В
</t>
    </r>
    <r>
      <rPr>
        <sz val="10"/>
        <color rgb="FF0000FF"/>
        <rFont val="Consolas"/>
        <family val="3"/>
        <charset val="204"/>
      </rPr>
      <t>- не применяется к уличным в/камерам, расположенным на  столбовых опорах</t>
    </r>
    <r>
      <rPr>
        <sz val="10"/>
        <color theme="1" tint="4.9989318521683403E-2"/>
        <rFont val="Consolas"/>
        <family val="3"/>
        <charset val="204"/>
      </rPr>
      <t xml:space="preserve">
- включает установку монтажной коробки (степень защиты не менее IP 54, число выводов 4-6) с её стоимостью
- включает заделку разъемов  UTP и подключения питания (в т.ч.POE-инжектор)
- включает подключение камеры  к порту коммутатора
- включает настройку изображения и фокуса
- включает маркировку имиджевыми идентификационными наклейками
- включает оформление разрешительных документов
- включает оформление исполнительной документации по МР</t>
    </r>
  </si>
  <si>
    <r>
      <t xml:space="preserve">Расценка на установку и настройку в/камер </t>
    </r>
    <r>
      <rPr>
        <sz val="10"/>
        <color rgb="FF0000FF"/>
        <rFont val="Consolas"/>
        <family val="3"/>
        <charset val="204"/>
      </rPr>
      <t>внутриподъездных( в т.ч. и внутрилифтовых) и околоподъездных</t>
    </r>
    <r>
      <rPr>
        <sz val="10"/>
        <color theme="1" tint="4.9989318521683403E-2"/>
        <rFont val="Consolas"/>
        <family val="3"/>
        <charset val="204"/>
      </rPr>
      <t xml:space="preserve"> В2С
в части городского в/наблюдения
-----------------------------------------------------------------------------------------------------------
</t>
    </r>
    <r>
      <rPr>
        <sz val="10"/>
        <color rgb="FF00B050"/>
        <rFont val="Consolas"/>
        <family val="3"/>
        <charset val="204"/>
      </rPr>
      <t>- подъездное (околоподъездное) в/наблюдение: в/камера размещённая у входа в подъезд снаружи для контроля уличного пространства у подъезда</t>
    </r>
    <r>
      <rPr>
        <sz val="10"/>
        <color theme="1" tint="4.9989318521683403E-2"/>
        <rFont val="Consolas"/>
        <family val="3"/>
        <charset val="204"/>
      </rPr>
      <t xml:space="preserve">
- включает установку монтажной коробки (степень защиты не менее IP 54, число выводов 4-6)
- включает заделку разъемов  UTP и подключения питания (в т.ч.POE-инжектор)
- включает подключение камеры  к порту коммутатора
- включает настройку изображения и фокуса
- включает маркировку имиджевыми идентификационными наклейками
- включает оформление разрешительных документов
- включает оформление исполнительной документации по МР</t>
    </r>
  </si>
  <si>
    <r>
      <t xml:space="preserve">Расценка на установку и настройку в/камер </t>
    </r>
    <r>
      <rPr>
        <sz val="10"/>
        <color rgb="FF0000FF"/>
        <rFont val="Consolas"/>
        <family val="3"/>
        <charset val="204"/>
      </rPr>
      <t>уличных на столбовых опорах</t>
    </r>
    <r>
      <rPr>
        <sz val="10"/>
        <color theme="1" tint="4.9989318521683403E-2"/>
        <rFont val="Consolas"/>
        <family val="3"/>
        <charset val="204"/>
      </rPr>
      <t xml:space="preserve">
-----------------------------------------------------------------------------------------------------------
- включает получение необходимых согласований и разрешений на работу в охранной зоне ЛЭП, включая получение ТУ (при необходимости)
- включает получение необходимых согласований и разрешений на работу на опорах сторонних организаций, включая получение разрешения на размещение оборудования на опоре у владельца опор (при необходимости)
- включает установку монтажной коробки (степень защиты не менее IP 54, число выводов 4-6) с её стоимостью
- включает заделку разъемов  UTP и подключения питания (в т.ч.POE-инжектор)
- включает подключение камеры  к порту коммутатора
- включает настройку изображения и фокуса
- включает маркировку имиджевыми идентификационными наклейками
- включает оформление разрешительных документов
- включает оформление исполнительной документации по МР</t>
    </r>
  </si>
  <si>
    <r>
      <t xml:space="preserve">Расценка на монтаж оборудования Wi-Fi </t>
    </r>
    <r>
      <rPr>
        <sz val="10"/>
        <color rgb="FF0000FF"/>
        <rFont val="Consolas"/>
        <family val="3"/>
        <charset val="204"/>
      </rPr>
      <t>внешнего (уличного)</t>
    </r>
    <r>
      <rPr>
        <sz val="10"/>
        <color theme="1" tint="4.9989318521683403E-2"/>
        <rFont val="Consolas"/>
        <family val="3"/>
        <charset val="204"/>
      </rPr>
      <t xml:space="preserve">
---------------------------------------------------------------------------------------------------------
- включает получение необходимых согласований и разрешений на размещение ТД на выбранном месте установки
- включает маркировку имиджевыми идентификационными наклейками. 
- включает оформление исполнительной документации по МР</t>
    </r>
  </si>
  <si>
    <r>
      <t xml:space="preserve">Расценка на монтаж оборудования Wi-Fi </t>
    </r>
    <r>
      <rPr>
        <sz val="10"/>
        <color rgb="FF0000FF"/>
        <rFont val="Consolas"/>
        <family val="3"/>
        <charset val="204"/>
      </rPr>
      <t>внутреннего</t>
    </r>
    <r>
      <rPr>
        <sz val="10"/>
        <color theme="1" tint="4.9989318521683403E-2"/>
        <rFont val="Consolas"/>
        <family val="3"/>
        <charset val="204"/>
      </rPr>
      <t xml:space="preserve">
</t>
    </r>
    <r>
      <rPr>
        <sz val="10"/>
        <color rgb="FF0000FF"/>
        <rFont val="Consolas"/>
        <family val="3"/>
        <charset val="204"/>
      </rPr>
      <t>- не применяется для жилых помещений</t>
    </r>
    <r>
      <rPr>
        <sz val="10"/>
        <color theme="1" tint="4.9989318521683403E-2"/>
        <rFont val="Consolas"/>
        <family val="3"/>
        <charset val="204"/>
      </rPr>
      <t xml:space="preserve">
- включает получение необходимых согласований и разрешений на размещение ТД на выбранном месте установки
- маркировка имиджевыми идентификационными наклейками. </t>
    </r>
  </si>
  <si>
    <t>Расценка на прокладку и монтаж оптоэлектрического комбинированного кабеля (типа СЛ-ОЭК/ОЭК-НУ/аналог) (для для одновременной передачи цифрового согнала и электропитания,например в зонах периметральной охраны и видеонаблюдения и т.п.). Оптическая часть -до 8 ОВ включительно,эл.часть-  до 2х2,5 мм2 включительно
- внутриобъектовые работы включают стоимость всех применяемых материалов
- включает варианты кабеля с оболочками нг(А)-LS, нг(А)-FRLS, нг(А)-FRHF, нг(А)-FRHFLtx; из блоксополимера, полиуретана; хладостойких, термостойких, огнестойких материалов и пр.
- включает стоимость оснастки сущ. опор или трубостоек для подвеса/крепления кабеля
- включает варианты прокладки в грунте, в канализации, по зданиям и сооружениям -при необходимости
- включает восстановление отделки поверхностей при внутриобъектовых работах
- включает бирки на кабель и наклейки на оконечные устройства
- установка  плакатов
- выравнивание, установка оттяжек, перевязка существующих опор Заказчика и пр.
- подрезка крон деревьев
- включая справки о выполнении ТУ от собственников инфраструктуры;
- оформление охранных зон линий связи,сдача в надзорные органы
- длина кабеля берется физическая (оптическая длина разделить на  коэф.укорочения из паспорта партии ВОК)
- исполнительная документация согласно требованиям МР (см. приложение к Договору)</t>
  </si>
  <si>
    <t>Покраска точки доступа, РРС,  видеокамеры по требованию заказчика</t>
  </si>
  <si>
    <r>
      <t xml:space="preserve">Расценка на монтаж нетипового/некомплектного кронштейна для ТД Wi-Fi/видеокамеры </t>
    </r>
    <r>
      <rPr>
        <sz val="10"/>
        <color rgb="FF0000FF"/>
        <rFont val="Consolas"/>
        <family val="3"/>
        <charset val="204"/>
      </rPr>
      <t xml:space="preserve">внутри помещений /уличных (настенных,на опорах и пр. конструкциях)
</t>
    </r>
    <r>
      <rPr>
        <sz val="10"/>
        <color theme="1" tint="4.9989318521683403E-2"/>
        <rFont val="Consolas"/>
        <family val="3"/>
        <charset val="204"/>
      </rPr>
      <t xml:space="preserve">
- включает все виды согласований,в т.ч. и с собствениками сооружений,опор,помещений,зданий, территорий
- включает восстановление отделки поверхностей стен помещений/зданий/опор при размещении кронштейна на них
- включает согласование типа/вида кронштейна с собоственниками помещения/здания/сооружения
- включает покраску в требуемый собственником цвет (покраска соответствующими лакокрасочными материалами,уличного или внутреннего назначения)
</t>
    </r>
  </si>
  <si>
    <t>Расценка по покраску уличного оборудования (ТД,РРС,в/камеры и т.п.) в требуемый цвет
- включает стоимость краски наружнего применения со сроком службы не менее гарантийного срока оборудования
- включает согласование цвета с Потребителем услуг/Заказчиком</t>
  </si>
  <si>
    <r>
      <t xml:space="preserve">Расценки на обследование,подготовку ТхР (ПИР) по радиопокрытию и создание проекта  </t>
    </r>
    <r>
      <rPr>
        <sz val="10"/>
        <color rgb="FF0000FF"/>
        <rFont val="Consolas"/>
        <family val="3"/>
        <charset val="204"/>
      </rPr>
      <t xml:space="preserve">планируемой сети Wi-Fi или модернизации существующей сети с зонами покрытия от S=50 м2 до S &gt; 50 тыс.м2
</t>
    </r>
    <r>
      <rPr>
        <sz val="10"/>
        <color theme="1" tint="4.9989318521683403E-2"/>
        <rFont val="Consolas"/>
        <family val="3"/>
        <charset val="204"/>
      </rPr>
      <t xml:space="preserve">
- в пределах одного адреса (Объекта)
- результаты обследования/ПИР предоставляются в виде по требованию Заказчика (включая бумажный и электронный вариант), в т.ч. как готовый проект для СМР (строительство или модернизация)
- включает получение всех необходимых согласований и разрешений, включая собственников жилых помещений,владельцев зданий и территорий,администрацию города/района,службу государственного пожарного надзора, ОГИБДД, коммунальные службы,УК/ТСЖ и пр.</t>
    </r>
  </si>
  <si>
    <r>
      <t xml:space="preserve">Расценка на трубку ПНД (жёсткая) </t>
    </r>
    <r>
      <rPr>
        <sz val="10"/>
        <color rgb="FF0000FF"/>
        <rFont val="Consolas"/>
        <family val="3"/>
        <charset val="204"/>
      </rPr>
      <t>до d= 32 мм</t>
    </r>
    <r>
      <rPr>
        <sz val="10"/>
        <color theme="1" tint="4.9989318521683403E-2"/>
        <rFont val="Consolas"/>
        <family val="3"/>
        <charset val="204"/>
      </rPr>
      <t xml:space="preserve"> , для закладки </t>
    </r>
    <r>
      <rPr>
        <sz val="10"/>
        <color rgb="FF0000FF"/>
        <rFont val="Consolas"/>
        <family val="3"/>
        <charset val="204"/>
      </rPr>
      <t>в грунт</t>
    </r>
    <r>
      <rPr>
        <sz val="10"/>
        <color theme="1" tint="4.9989318521683403E-2"/>
        <rFont val="Consolas"/>
        <family val="3"/>
        <charset val="204"/>
      </rPr>
      <t xml:space="preserve">
- применяется для закладки в грунт под размещение кабелей/линий и кабелей эл. питания в проектах комплексных решений для подключения СКУД, шлагбаумов/боллардов, закладки абонентских кабелей при прокладки в грунте для В2В,В2G и пр, в отдельных случаях при инсталляциях B2C.Применяется только для внешней прокладки
- включает получение всех необходимых согласований на организацию трассы прокладки, в т.ч. и с собственниками жилых помещений, владельцами зданий,территорий
- включает герметичную стыковку труб с организацией сплошного канала под размещение кабелей связи и электропитания
- включает организацию ввода трубки-канала в устройства с подключаемым оборудованием (стойки шлагбмаумов,СКУД,в/камер, опоры с оборудованием и т.д.)
</t>
    </r>
    <r>
      <rPr>
        <sz val="10"/>
        <color rgb="FF0000FF"/>
        <rFont val="Consolas"/>
        <family val="3"/>
        <charset val="204"/>
      </rPr>
      <t>- не включает стоимость кабелей</t>
    </r>
  </si>
  <si>
    <r>
      <t xml:space="preserve">Расценка на настройку коммутатора ( получение,установка, подключение,ПНР)
- включает настройку коммутаторов с РОЕ
- включает работы по установке и подключению коммутатора, получение у МОЛа Заказчика, доставка на место установки и пр.
</t>
    </r>
    <r>
      <rPr>
        <sz val="10"/>
        <color rgb="FF0000FF"/>
        <rFont val="Consolas"/>
        <family val="3"/>
        <charset val="204"/>
      </rPr>
      <t>- не включает стоимость коммутатора</t>
    </r>
  </si>
  <si>
    <t>Расценка на монтаж рабочего места оператора в/наблюдения (АРМ)
- включает маркировку имиджевыми и идентификационными наклейками
- включает получение всех необходимых согласований на организацию АРМ, в т.ч. и с собствениками жилых помещений, владельцами зданий,территорий</t>
  </si>
  <si>
    <t>Расценка на сборку,установку/монтаж антенны эфирного ТВ
- включает получение у МОЛа Заказчика, доставка на место установки и пр.
- включает стоимость всех материалов для установки,монтажа и подключения
- включает проведение всех необходимых коммутаций на сущ. сетях Заказчика (при необходимости)
- включает получение всех необходимых согласований на монтаж антенны, в т.ч. и с собствениками жилых помещений, владельцами зданий,территорий</t>
  </si>
  <si>
    <r>
      <t xml:space="preserve">Расценка на демонтаж оборудования
- применяется для демонтажа оборудования уличного размещения, размещенного вне шкафов/стоек, 
</t>
    </r>
    <r>
      <rPr>
        <sz val="10"/>
        <color rgb="FF0000FF"/>
        <rFont val="Consolas"/>
        <family val="3"/>
        <charset val="204"/>
      </rPr>
      <t>- не включает работы по демонтажу телекоммуникационных шкафов/стоек и оборудования из них. Данные работы учитываются по расценкам 6.35-6.37.</t>
    </r>
    <r>
      <rPr>
        <sz val="10"/>
        <color theme="1" tint="4.9989318521683403E-2"/>
        <rFont val="Consolas"/>
        <family val="3"/>
        <charset val="204"/>
      </rPr>
      <t xml:space="preserve">
- включает оформление разрешительных документов на доступ к месту размещения оборудования, помещению или территории размещения
- включает передачу Заказчику вместе с демонтированным оборудованием набора крепежных и соединительных элементов с предыдущего места установки, включая патч-корды и т.п.
- включает восстановление лакокрасочного покрытия демонтированного оборудования,пострадавшего с момента передачи в демонтаж и до момента передачи Заказчику по акту сдачи-приёмки на новом месте установки или на складе Заказчика
- включает восстановление комплектности крепежных,соединительных и конструктивных элементов демонтированного оборудования,утеря которого произошла  с момента передачи в демонтаж и до момента передачи Заказчику по акту сдачи-приёмки на новом месте установки или на складе Заказчика</t>
    </r>
  </si>
  <si>
    <r>
      <t xml:space="preserve">Расценка на получение АРБП 
- применяется для получения АРБП на объект связи Заказчика
- выдается отдельным Заказом
</t>
    </r>
    <r>
      <rPr>
        <sz val="10"/>
        <color rgb="FF0000FF"/>
        <rFont val="Consolas"/>
        <family val="3"/>
        <charset val="204"/>
      </rPr>
      <t>- не применяется на строящихся Объектах, где подключние к электропитанию подразумевает оформление комплекта документов, в т.ч. и АРБП</t>
    </r>
  </si>
  <si>
    <r>
      <t xml:space="preserve">Расценка на получение ТУ для электроснабжения
- применяется для получения ТУ на электроснабжение для отдельных объектов строительства, при условии что данные работы не учтены основными работами по ОБъекту
- выдается отдельным Заказом
</t>
    </r>
    <r>
      <rPr>
        <sz val="10"/>
        <color rgb="FF0000FF"/>
        <rFont val="Consolas"/>
        <family val="3"/>
        <charset val="204"/>
      </rPr>
      <t>- не применяется на строящихся Объектах, где подключние к электропитанию подразумевает оформление комплекта документов, в т.ч. и получение ТУ</t>
    </r>
  </si>
  <si>
    <r>
      <t xml:space="preserve">Расценка на проведение приёмо-сдаточных испытаний электроустановок
- применяется для проведение приёмки на отдельных объектах строительства, при условии что данные работы не учтены основными работами по Объекту
- выдается отдельным Заказом
</t>
    </r>
    <r>
      <rPr>
        <sz val="10"/>
        <color rgb="FF0000FF"/>
        <rFont val="Consolas"/>
        <family val="3"/>
        <charset val="204"/>
      </rPr>
      <t>- не применяется на строящихся Объектах, где приёмка подразумевает,в т.ч. и мероприятия по приёмо-сдаточныым испытаниям электроустановок</t>
    </r>
  </si>
  <si>
    <r>
      <t xml:space="preserve">Расценка на проведение измерений сопротивления изоляции
- применяется для проведения приёмки на отдельных объектах строительства, при условии что данные работы не учтены основными работами по Объекту
- применяется для проверки линий электропитания в интересах Заказчика, в т.ч. и на линиях сторонних организаций
- выдается отдельным Заказом
</t>
    </r>
    <r>
      <rPr>
        <sz val="10"/>
        <color rgb="FF0000FF"/>
        <rFont val="Consolas"/>
        <family val="3"/>
        <charset val="204"/>
      </rPr>
      <t>- не применяется на строящихся Объектах, где приёмка подразумевает такие измерения</t>
    </r>
  </si>
  <si>
    <r>
      <t xml:space="preserve">ПИР, СМР. Применяется при необходимости монтажа ЩРЗ, ЩГ и ЩК с автоматами. С учетом стоимости оборудования и материалов.  Включает установку автоматов, прокладку силового кабеля длиной </t>
    </r>
    <r>
      <rPr>
        <sz val="10"/>
        <color rgb="FF0000FF"/>
        <rFont val="Consolas"/>
        <family val="3"/>
        <charset val="204"/>
      </rPr>
      <t xml:space="preserve">20 м </t>
    </r>
    <r>
      <rPr>
        <sz val="10"/>
        <color theme="1"/>
        <rFont val="Consolas"/>
        <family val="3"/>
        <charset val="204"/>
      </rPr>
      <t>и кабеля заземления, установку ЩРЗ, подключение, измерения, стоимость оборудования ЩРЗ, ЩГ и ЩК с автоматами и прочих материалов для подключения.</t>
    </r>
  </si>
  <si>
    <r>
      <t xml:space="preserve">Расценка на подключение оборудования к электропитанию
- применяется для подключения оборудования, при условии что данные работы не учтены основными работами по Объекту
- применяется,в т.ч. и на существующих Объектах Заказчика
- применяется, в т.ч. и на Объектах сторонних организаций, где выполнение данных работ инициировано Заказчиком и/или выполняется с интересах Заказчика
- выдается отдельным Заказом
</t>
    </r>
    <r>
      <rPr>
        <sz val="10"/>
        <color rgb="FF0000FF"/>
        <rFont val="Consolas"/>
        <family val="3"/>
        <charset val="204"/>
      </rPr>
      <t>- не применяется совместно с расценками,в которых уже учтена организация подключения к электропитанию (полностью или частично)</t>
    </r>
    <r>
      <rPr>
        <sz val="10"/>
        <color theme="1"/>
        <rFont val="Consolas"/>
        <family val="3"/>
        <charset val="204"/>
      </rPr>
      <t xml:space="preserve">
- если длина кабеля электропитания </t>
    </r>
    <r>
      <rPr>
        <sz val="10"/>
        <color rgb="FF0000FF"/>
        <rFont val="Consolas"/>
        <family val="3"/>
        <charset val="204"/>
      </rPr>
      <t>превышает 20 м</t>
    </r>
    <r>
      <rPr>
        <sz val="10"/>
        <color theme="1"/>
        <rFont val="Consolas"/>
        <family val="3"/>
        <charset val="204"/>
      </rPr>
      <t xml:space="preserve">, то дополнительная длина кабеля учитывается по расценкам </t>
    </r>
    <r>
      <rPr>
        <sz val="10"/>
        <color rgb="FF0000FF"/>
        <rFont val="Consolas"/>
        <family val="3"/>
        <charset val="204"/>
      </rPr>
      <t xml:space="preserve">6.115-6.118 </t>
    </r>
    <r>
      <rPr>
        <sz val="10"/>
        <color theme="1"/>
        <rFont val="Consolas"/>
        <family val="3"/>
        <charset val="204"/>
      </rPr>
      <t xml:space="preserve">
- включает получение всех необходимых согласований, в т.ч. и с собствениками жилых помещений, владельцами зданий,территорий
- включает получение всех разрешительных документов,в т.ч. и ТУ на тех. присоединение/подключение к электроснабжению, включая оформление необходимого комплекта документов в энергоснабжающей организации
- включает маркировку имиджевыми и идентификационными наклейками</t>
    </r>
  </si>
  <si>
    <r>
      <t xml:space="preserve">Расценка на установку и подключение счетчика электроэнергии
</t>
    </r>
    <r>
      <rPr>
        <sz val="10"/>
        <color rgb="FF0000FF"/>
        <rFont val="Consolas"/>
        <family val="3"/>
        <charset val="204"/>
      </rPr>
      <t>- не применяется совместно с расценками, в которых счётчик входит в состав давальческого/покупаемого оборудования</t>
    </r>
    <r>
      <rPr>
        <sz val="10"/>
        <color theme="1" tint="4.9989318521683403E-2"/>
        <rFont val="Consolas"/>
        <family val="3"/>
        <charset val="204"/>
      </rPr>
      <t xml:space="preserve">
- применяется для случаев отдельной установки счетчика электроэнергии,в т.ч. и на существующих сетях/линиях электропитания оборудования Заказчика
- применяется для случаев отдельной установки на линиях электропитания иных организаций,в случаях когда работы инициированы Заказчиком и выполняются в его интересах, с выдачей отдельного заказа
- включает маркировку имиджевыми и идентификационными наклейками</t>
    </r>
  </si>
  <si>
    <r>
      <t xml:space="preserve">Расценка на установку и подключение автоматического выключателя
- включает стоимость автоматического выключателя (образец согласовать с Заказчиком до начала работ)
- номинальный ток устанавливаемого автоматического выключателя определяется Заказчиком и указывается в Заказе
</t>
    </r>
    <r>
      <rPr>
        <sz val="10"/>
        <color rgb="FF0000FF"/>
        <rFont val="Consolas"/>
        <family val="3"/>
        <charset val="204"/>
      </rPr>
      <t>-не применяется совместно с расценками, в которых автоматический выключатель входит в состав давальческого/покупаемого оборудования</t>
    </r>
    <r>
      <rPr>
        <sz val="10"/>
        <color theme="1" tint="4.9989318521683403E-2"/>
        <rFont val="Consolas"/>
        <family val="3"/>
        <charset val="204"/>
      </rPr>
      <t xml:space="preserve">
- применяется для случаев отдельной установки автоматического выключателя,в т.ч. и на существующих сетях/линиях электропитания оборудования Заказчика
- применяется для случаев отдельной установки на линиях электропитания иных организаций,в случаях когда работы инициированы Заказчиком и выполняются в его интересах, с выдачей отдельного заказа
- включает маркировку имиджевыми и идентификационными наклейками</t>
    </r>
  </si>
  <si>
    <t>Расценка на установку блока абонентских розеток в дх
- применяется для концевой заделки проложенных линий связи и кабеля эл.питания при строительстве комплексных решений в новостройках
- применяется только по отдельному решению Заказчика,с участием Застройщика,с обязательным согласованием образца с Заказчиком и Застройщиком
- включает любой тип блока (наружний или встроенный)
- включает различные варианты комплектации розеток в блоке (определяется Заказчиком в составе Заказа): 220 В,типа RJ-45/11,ОРА,РПВ,ТВ одиночные разъем F
- включает маркировку имиджевыми и идентификационными наклейками
- включает оформление исполнительной документации по МР</t>
  </si>
  <si>
    <r>
      <t xml:space="preserve">Расценка на установку розетки (220В) на DIN-рейку с заземлением контактов
</t>
    </r>
    <r>
      <rPr>
        <sz val="10"/>
        <color rgb="FF0000FF"/>
        <rFont val="Consolas"/>
        <family val="3"/>
        <charset val="204"/>
      </rPr>
      <t xml:space="preserve">
- не применяется совместно с расценками,в которых розетка 220В входит в состав давальческого/покупаемого оборудования
</t>
    </r>
    <r>
      <rPr>
        <sz val="10"/>
        <color theme="1" tint="4.9989318521683403E-2"/>
        <rFont val="Consolas"/>
        <family val="3"/>
        <charset val="204"/>
      </rPr>
      <t>- включает стоимость DIN-рейки необходимого размера и её крепежных элементов</t>
    </r>
    <r>
      <rPr>
        <sz val="10"/>
        <color rgb="FF0000FF"/>
        <rFont val="Consolas"/>
        <family val="3"/>
        <charset val="204"/>
      </rPr>
      <t xml:space="preserve">
</t>
    </r>
    <r>
      <rPr>
        <sz val="10"/>
        <color theme="1"/>
        <rFont val="Consolas"/>
        <family val="3"/>
        <charset val="204"/>
      </rPr>
      <t>- применяется только по отдельному решению Заказчика,с обязательным согласованием образца с Заказчиком
- включает маркировку имиджевыми и идентификационными наклейками
- включает оформление исполнительной документации по МР</t>
    </r>
  </si>
  <si>
    <r>
      <t xml:space="preserve">Расценки на прокладку и монтаж силового кабеля (кабеля электропитания) различной ёмкости </t>
    </r>
    <r>
      <rPr>
        <sz val="10"/>
        <color rgb="FF0000FF"/>
        <rFont val="Consolas"/>
        <family val="3"/>
        <charset val="204"/>
      </rPr>
      <t xml:space="preserve">(до 5 жил) </t>
    </r>
    <r>
      <rPr>
        <sz val="10"/>
        <color theme="1" tint="4.9989318521683403E-2"/>
        <rFont val="Consolas"/>
        <family val="3"/>
        <charset val="204"/>
      </rPr>
      <t xml:space="preserve">и сечением </t>
    </r>
    <r>
      <rPr>
        <sz val="10"/>
        <color rgb="FF0000FF"/>
        <rFont val="Consolas"/>
        <family val="3"/>
        <charset val="204"/>
      </rPr>
      <t>до 16 мм²</t>
    </r>
    <r>
      <rPr>
        <sz val="10"/>
        <color theme="1" tint="4.9989318521683403E-2"/>
        <rFont val="Consolas"/>
        <family val="3"/>
        <charset val="204"/>
      </rPr>
      <t xml:space="preserve"> , различными способами прокладки (для всех проектов,кроме СКС)
</t>
    </r>
    <r>
      <rPr>
        <sz val="10"/>
        <color rgb="FF0000FF"/>
        <rFont val="Consolas"/>
        <family val="3"/>
        <charset val="204"/>
      </rPr>
      <t>- не применяются совместно с расценками, в которых прокладка кабеля электропитания уже учтена соотвествующим составом работ в расценках</t>
    </r>
    <r>
      <rPr>
        <sz val="10"/>
        <color theme="1" tint="4.9989318521683403E-2"/>
        <rFont val="Consolas"/>
        <family val="3"/>
        <charset val="204"/>
      </rPr>
      <t xml:space="preserve">
</t>
    </r>
    <r>
      <rPr>
        <sz val="10"/>
        <color rgb="FF0000FF"/>
        <rFont val="Consolas"/>
        <family val="3"/>
        <charset val="204"/>
      </rPr>
      <t>- не применяются для случаев, когда требуется прокладка кабеля сверх заложенных в расценках объёмов (для этого применяются расценки 6.115-6.118)
- для 6.108 и 6.109 необходимо применять кабель типа ВВГнг/ВВГнг-LS/КГВВнг(А)-LS/ПВС (аналог)</t>
    </r>
    <r>
      <rPr>
        <sz val="10"/>
        <color theme="1" tint="4.9989318521683403E-2"/>
        <rFont val="Consolas"/>
        <family val="3"/>
        <charset val="204"/>
      </rPr>
      <t xml:space="preserve">
- применяются для случаев отдельной организации подключения электропитания к оборудованияю заказчика, в т.ч. и существующего
- необходимое сечение кабеля определяется на основании расчётов по мощности/току. </t>
    </r>
    <r>
      <rPr>
        <sz val="10"/>
        <color rgb="FFFF0000"/>
        <rFont val="Consolas"/>
        <family val="3"/>
        <charset val="204"/>
      </rPr>
      <t>Применение кабеля с сечением жил ниже расчётного не допускается. Расчёты предоставить и согласовать с Заказчиком на этапе ПИР</t>
    </r>
    <r>
      <rPr>
        <sz val="10"/>
        <color theme="1" tint="4.9989318521683403E-2"/>
        <rFont val="Consolas"/>
        <family val="3"/>
        <charset val="204"/>
      </rPr>
      <t xml:space="preserve">
- применяется для подключения оборудования сторонних организаций, когда работы выполняются в интересах Заказчика и выданы им в составе отдельного заказа
- включает маркировку имиджевыми и идентификационными наклейками
- включает оформление исполнительной документации по МР</t>
    </r>
  </si>
  <si>
    <r>
      <t xml:space="preserve">Расценки на дополнительную (сверх основных объёмов) прокладку и монтаж силового кабеля (кабеля электропитания) различной ёмкости </t>
    </r>
    <r>
      <rPr>
        <sz val="10"/>
        <color rgb="FF0000FF"/>
        <rFont val="Consolas"/>
        <family val="3"/>
        <charset val="204"/>
      </rPr>
      <t>(до 5 жил)</t>
    </r>
    <r>
      <rPr>
        <sz val="10"/>
        <color theme="1" tint="4.9989318521683403E-2"/>
        <rFont val="Consolas"/>
        <family val="3"/>
        <charset val="204"/>
      </rPr>
      <t xml:space="preserve"> и сечением </t>
    </r>
    <r>
      <rPr>
        <sz val="10"/>
        <color rgb="FF0000FF"/>
        <rFont val="Consolas"/>
        <family val="3"/>
        <charset val="204"/>
      </rPr>
      <t xml:space="preserve">до 16 мм² </t>
    </r>
    <r>
      <rPr>
        <sz val="10"/>
        <color theme="1" tint="4.9989318521683403E-2"/>
        <rFont val="Consolas"/>
        <family val="3"/>
        <charset val="204"/>
      </rPr>
      <t xml:space="preserve">, различными способами прокладки
</t>
    </r>
    <r>
      <rPr>
        <sz val="10"/>
        <color rgb="FF0000FF"/>
        <rFont val="Consolas"/>
        <family val="3"/>
        <charset val="204"/>
      </rPr>
      <t>- применяются исключительно для случаев прокладки дополнительных объёмов кабеля сверх заложенных в указанных расценках
- для всех расценок применять кабель типа ВВГнг/ВВГнг-LS/КГВВнг(А)-LS/ПВС (аналог)</t>
    </r>
    <r>
      <rPr>
        <sz val="10"/>
        <color theme="1" tint="4.9989318521683403E-2"/>
        <rFont val="Consolas"/>
        <family val="3"/>
        <charset val="204"/>
      </rPr>
      <t xml:space="preserve">
- применяется соотвествующая расценка, отражающая способ прокладки основного кабеля
- прокладываемый по данным расценкам кабель должен соотвествовать по сечению основному кабелю
- при необходимости необходимое сечение кабеля определяется на основании расчётов по мощности/току. Применение кабеля с сечением жил ниже расчётного не допускается. Расчёты предоставить и согласовать с Заказчиком на этапе ПИР
- включает маркировку имиджевыми и идентификационными наклейками
- включает оформление исполнительной документации по МР</t>
    </r>
  </si>
  <si>
    <r>
      <t xml:space="preserve">Расценка на определение ТхВ размещения Объекта беспроводного доступа
- выдается отдельным Заказом
- это обследование потенциальных площадок под размещение сооружений/оборудования Заказчика под определенные условия, спредоставлением набора документов и планов размещения оборудования
- включает получение всех необходимых согласований на организацию трассы проклдаки, в т.ч. и с собствениками жилых помещений, владельцами зданий,территорий
- включает заключение договора с Арендодателем от имени Заказчика
</t>
    </r>
    <r>
      <rPr>
        <sz val="10"/>
        <color rgb="FF0000FF"/>
        <rFont val="Consolas"/>
        <family val="3"/>
        <charset val="204"/>
      </rPr>
      <t>- не применяются совместно с расценками, в которых данные работы уже учтены соотвествующим составом работ в расценках</t>
    </r>
  </si>
  <si>
    <r>
      <t xml:space="preserve">Расценка на предпроектные изыскания на Объект беспроводного доступа
- включает оформление предварительной рабочей документации со сметой и её согласование
- получение ТУ на электроснабжение
- включает получение всех необходимых согласований на площадку строительства, в т.ч. и с собствениками жилых помещений, владельцами зданий,территорий
</t>
    </r>
    <r>
      <rPr>
        <sz val="10"/>
        <color rgb="FF0000FF"/>
        <rFont val="Consolas"/>
        <family val="3"/>
        <charset val="204"/>
      </rPr>
      <t>- не применяются совместно с расценками, в которых данные работы уже учтены соотвествующим составом работ в расценках</t>
    </r>
  </si>
  <si>
    <t>Расценка на заключение договора аренды на Объект 
- включает получение всех необходимых согласований на площадку строительства, в т.ч. и с собствениками жилых помещений, владельцами зданий,территорий
- не применяются совместно с расценками, в которых данные работы уже учтены соотвествующим составом работ в расценках</t>
  </si>
  <si>
    <r>
      <t xml:space="preserve">Расценка на заключение СЭЭЗ с разрешением на эксплуатацию РЭС (Р2)
</t>
    </r>
    <r>
      <rPr>
        <sz val="10"/>
        <color rgb="FF0000FF"/>
        <rFont val="Consolas"/>
        <family val="3"/>
        <charset val="204"/>
      </rPr>
      <t>- не применяются совместно с расценками, в которых данные работы уже учтены соотвествующим составом работ в расценках</t>
    </r>
  </si>
  <si>
    <r>
      <t xml:space="preserve">Расценка на приложение к СЭЗ (Р1) с контролем уровня ЭПРИ
</t>
    </r>
    <r>
      <rPr>
        <sz val="10"/>
        <color rgb="FF0000FF"/>
        <rFont val="Consolas"/>
        <family val="3"/>
        <charset val="204"/>
      </rPr>
      <t xml:space="preserve">
- не применяются совместно с расценками, в которых данные работы уже учтены соотвествующим составом работ в расценках</t>
    </r>
  </si>
  <si>
    <r>
      <rPr>
        <sz val="10"/>
        <color theme="1" tint="4.9989318521683403E-2"/>
        <rFont val="Consolas"/>
        <family val="3"/>
        <charset val="204"/>
      </rPr>
      <t>Расценка на заключение ЭПБ, заключение несущей способности труб и др.</t>
    </r>
    <r>
      <rPr>
        <sz val="10"/>
        <color rgb="FF0000FF"/>
        <rFont val="Consolas"/>
        <family val="3"/>
        <charset val="204"/>
      </rPr>
      <t xml:space="preserve">
- не применяются совместно с расценками, в которых данные работы уже учтены соотвествующим составом работ в расценка</t>
    </r>
  </si>
  <si>
    <r>
      <rPr>
        <sz val="10"/>
        <color theme="1" tint="4.9989318521683403E-2"/>
        <rFont val="Consolas"/>
        <family val="3"/>
        <charset val="204"/>
      </rPr>
      <t>Расценка на расчет несущей способности антенной опоры</t>
    </r>
    <r>
      <rPr>
        <sz val="10"/>
        <color rgb="FF0000FF"/>
        <rFont val="Consolas"/>
        <family val="3"/>
        <charset val="204"/>
      </rPr>
      <t xml:space="preserve">
- не применяются совместно с расценками, в которых данные работы уже учтены соотвествующим составом работ в расценках</t>
    </r>
  </si>
  <si>
    <r>
      <rPr>
        <sz val="10"/>
        <color theme="1" tint="4.9989318521683403E-2"/>
        <rFont val="Consolas"/>
        <family val="3"/>
        <charset val="204"/>
      </rPr>
      <t>Расценка на разработку комплекта чертежей РРС</t>
    </r>
    <r>
      <rPr>
        <sz val="10"/>
        <color rgb="FF0000FF"/>
        <rFont val="Consolas"/>
        <family val="3"/>
        <charset val="204"/>
      </rPr>
      <t xml:space="preserve">
- не применяются совместно с расценками, в которых данные работы уже учтены соотвествующим составом работ в расценках</t>
    </r>
  </si>
  <si>
    <r>
      <t xml:space="preserve">Расценка на СМР антенн РРС  </t>
    </r>
    <r>
      <rPr>
        <sz val="10"/>
        <color rgb="FF0000FF"/>
        <rFont val="Consolas"/>
        <family val="3"/>
        <charset val="204"/>
      </rPr>
      <t xml:space="preserve">Ø 0,3-0,6 м/ Ø 0,9-1,2 м </t>
    </r>
    <r>
      <rPr>
        <sz val="10"/>
        <color theme="1"/>
        <rFont val="Consolas"/>
        <family val="3"/>
        <charset val="204"/>
      </rPr>
      <t xml:space="preserve"> </t>
    </r>
    <r>
      <rPr>
        <sz val="10"/>
        <color rgb="FF0000FF"/>
        <rFont val="Consolas"/>
        <family val="3"/>
        <charset val="204"/>
      </rPr>
      <t>(на существующих и проектируемых конструкциях)</t>
    </r>
    <r>
      <rPr>
        <sz val="10"/>
        <color theme="1"/>
        <rFont val="Consolas"/>
        <family val="3"/>
        <charset val="204"/>
      </rPr>
      <t xml:space="preserve">
- включает получение всех необходимых согласований на площадку строительства, в т.ч. и с собствениками жилых помещений, владельцами зданий,территорий
- включает оформление исполнительной документации по МР</t>
    </r>
  </si>
  <si>
    <r>
      <t xml:space="preserve">Расценка на ПНР антенны РРС любого диаметра
</t>
    </r>
    <r>
      <rPr>
        <sz val="10"/>
        <color rgb="FF0000FF"/>
        <rFont val="Consolas"/>
        <family val="3"/>
        <charset val="204"/>
      </rPr>
      <t>- не применяется совместно с расценками, в которых данные работы уже учтены соотвествующим составом работ в расценка</t>
    </r>
  </si>
  <si>
    <t>Расценка на СМР и ПНР станционной части БС БШПД
- включает получение всех необходимых согласований на площадку строительства, в т.ч. и с собствениками жилых помещений, владельцами зданий,территорий
- включает маркировку имиджевыми и идентификационными наклейками
- включает оформление исполнительной документации по МР</t>
  </si>
  <si>
    <t>Расценка на СМР и ПНР абонентского блока БШПД/3G/4G
- включает получение всех необходимых согласований на площадку строительства, в т.ч. и с собствениками жилых помещений, владельцами зданий,территорий
- включает маркировку имиджевыми и идентификационными наклейками
- включает оформление исполнительной документации по МР</t>
  </si>
  <si>
    <t>Расценка на ПИР,СМР и ПНР VSAT (терминал спутниковой связи)
- включает получение всех необходимых согласований на площадку строительства, в т.ч. и с собствениками жилых помещений, владельцами зданий,территорий
- включает маркировку имиджевыми и идентификационными наклейками
- включает оформление исполнительной документации по МР</t>
  </si>
  <si>
    <t>Расценка на ПИР,СМР и ПНР уличной точки Wi-Fi УЦН
- включает получение всех необходимых согласований для работ на площадке строительства, в т.ч. и с собствениками жилых помещений, владельцами зданий,территорий
- включает работы на шкаф энергетиков: ПИР и СМР на комплект, включая стоимость всех материалов, шкафа и кабелей; подключение к сети электроснабжения с использованием счетчика элктроснабжения;присоединение с системе заземления
- включает маркировку имиджевыми и идентификационными наклейками
- включает оформление исполнительной документации по МР</t>
  </si>
  <si>
    <r>
      <t>Расценка на строительство контура заземления к АМС
- может применяться для строительства контуров заземления для других сооружений (капитальный зданий,конструкций и т.п.,за исключеним опор и пр. конструкций,где устройство заземления входит в состав расценок)-</t>
    </r>
    <r>
      <rPr>
        <sz val="10"/>
        <color rgb="FF0000FF"/>
        <rFont val="Consolas"/>
        <family val="3"/>
        <charset val="204"/>
      </rPr>
      <t>только по согласованию с Заказчиком</t>
    </r>
    <r>
      <rPr>
        <sz val="10"/>
        <color theme="1"/>
        <rFont val="Consolas"/>
        <family val="3"/>
        <charset val="204"/>
      </rPr>
      <t xml:space="preserve">
- включает получение всех необходимых согласований для работ на площадке строительства, в т.ч. и с собствениками жилых помещений, владельцами зданий,территорий
- включает оформление исполнительной документации по МР</t>
    </r>
  </si>
  <si>
    <r>
      <t xml:space="preserve">Расценка на демонтаж оборудования БШПД и антенн РРС
- применяется для демонтажа оборудования уличного размещения, размещенного вне шкафов/стоек, 
</t>
    </r>
    <r>
      <rPr>
        <sz val="10"/>
        <color rgb="FF0000FF"/>
        <rFont val="Consolas"/>
        <family val="3"/>
        <charset val="204"/>
      </rPr>
      <t>- не включает работы по демонтажу телекоммуникационных шкафов/стоек и оборудования из них. Данные работы учитываются по расценкам 6.35-6.37.</t>
    </r>
    <r>
      <rPr>
        <sz val="10"/>
        <color theme="1"/>
        <rFont val="Consolas"/>
        <family val="3"/>
        <charset val="204"/>
      </rPr>
      <t xml:space="preserve">
- включает оформление разрешительных документов на доступ к месту размещения оборудования, помещению или территории размещения
- включает передачу Заказчику вместе с демонтированным оборудованием набора крепежных и соединительных элементов с предыдущего места установки, включая патч-корды и т.п.
- включает восстановление лакокрасочного покрытия демонтированного оборудования,пострадавшего с момента передачи в демонтаж и до момента передачи Заказчику по акту сдачи-приёмки на новом месте установки или на складе Заказчика
- включает восстановление комплектности крепежных,соединительных и конструктивных элементов демонтированного оборудования,утеря которого произошла  с момента передачи в демонтаж и до момента передачи Заказчику по акту сдачи-приёмки на новом месте установки или на складе Заказчика</t>
    </r>
  </si>
  <si>
    <r>
      <t xml:space="preserve">Расценка на автовышку (автоподъёмник) для АМС
</t>
    </r>
    <r>
      <rPr>
        <sz val="10"/>
        <color rgb="FF0000FF"/>
        <rFont val="Consolas"/>
        <family val="3"/>
        <charset val="204"/>
      </rPr>
      <t xml:space="preserve">
- не применяется при СМР на АМС и др. работах при строительстве Объекта
</t>
    </r>
    <r>
      <rPr>
        <sz val="10"/>
        <color theme="1" tint="4.9989318521683403E-2"/>
        <rFont val="Consolas"/>
        <family val="3"/>
        <charset val="204"/>
      </rPr>
      <t>- только для необслуживаемых АМС</t>
    </r>
  </si>
  <si>
    <r>
      <t xml:space="preserve">Расценка для привлечения альпиниста (верхолазные работы)
</t>
    </r>
    <r>
      <rPr>
        <sz val="10"/>
        <color rgb="FF0000FF"/>
        <rFont val="Consolas"/>
        <family val="3"/>
        <charset val="204"/>
      </rPr>
      <t>- не применяется при СМР и др. работах при строительстве Объекта подрядным способом</t>
    </r>
    <r>
      <rPr>
        <sz val="10"/>
        <color theme="1" tint="4.9989318521683403E-2"/>
        <rFont val="Consolas"/>
        <family val="3"/>
        <charset val="204"/>
      </rPr>
      <t xml:space="preserve">
- для применения по отдельному заказу на существующих сетях Заказчика</t>
    </r>
  </si>
  <si>
    <t>Расценка на ПИР СКС
- включает оформление комплекта ПСД
- включает получение всех необходимых согласований на ОБъекте, в т.ч. и с собствениками жилых помещений, владельцами зданий,территорий</t>
  </si>
  <si>
    <t>Расценка на обследование Объекта для строительства СКС
- включает разработку технического решения по ТЗ Заказчика со стороны Клиента
- включает оформление предварительной рабочей документации со сметой и её согласование</t>
  </si>
  <si>
    <r>
      <t xml:space="preserve">Расценка на монтаж кабельных каналов,коробов (ПВХ) типоразмеров </t>
    </r>
    <r>
      <rPr>
        <sz val="10"/>
        <color rgb="FF0000FF"/>
        <rFont val="Consolas"/>
        <family val="3"/>
        <charset val="204"/>
      </rPr>
      <t>до 80х60,от 80х60 до 100х60,более 100х60</t>
    </r>
    <r>
      <rPr>
        <sz val="10"/>
        <color theme="1" tint="4.9989318521683403E-2"/>
        <rFont val="Consolas"/>
        <family val="3"/>
        <charset val="204"/>
      </rPr>
      <t xml:space="preserve">
- включает согласование с Заказчиком от Клиента мест установки кабельных каналов и коробов
- включает ПВХ кабельные каналы,короба любой конструкции, в т.ч. и закладные типа УНИКОР
- включает обязательное использование комплектующих: заглушки, повороты,углы внутренние,внешние,плоские и Т-образные,соединения на стыки,соединители/переходы из гофротруб прямоугольного сечения,соединительные/распределительные коробки для кабель-канала, рамки ввода в стену. </t>
    </r>
    <r>
      <rPr>
        <sz val="10"/>
        <color rgb="FFFF0000"/>
        <rFont val="Consolas"/>
        <family val="3"/>
        <charset val="204"/>
      </rPr>
      <t>Использование не типовых/несоотвествующих коплектующих по указанные типоразмеры не допускается.</t>
    </r>
    <r>
      <rPr>
        <sz val="10"/>
        <color theme="1" tint="4.9989318521683403E-2"/>
        <rFont val="Consolas"/>
        <family val="3"/>
        <charset val="204"/>
      </rPr>
      <t xml:space="preserve">
- включает заделку отверстий и восстановление поверхностей и их отделки</t>
    </r>
  </si>
  <si>
    <t>Расценка на демонтаж кабельных каналов, коробов ПВХ
- включает оформление разрешительных документов на доступ к месту размещения демонтируемой  инфраструктуры, помещению или территории размещения
- включает вывоз на утилизацию или сдачу демонтированных материалов представителю Заказчика от Клиента по акту 
- включает вывоз на склад Заказчика и передачу по акту доментированного материала</t>
  </si>
  <si>
    <r>
      <t xml:space="preserve">Расценка на трубу </t>
    </r>
    <r>
      <rPr>
        <sz val="10"/>
        <color rgb="FF0000FF"/>
        <rFont val="Consolas"/>
        <family val="3"/>
        <charset val="204"/>
      </rPr>
      <t>до 50 мм</t>
    </r>
    <r>
      <rPr>
        <sz val="10"/>
        <color theme="1" tint="4.9989318521683403E-2"/>
        <rFont val="Consolas"/>
        <family val="3"/>
        <charset val="204"/>
      </rPr>
      <t xml:space="preserve"> жёсткая,оцинкованная
- использовать трубы </t>
    </r>
    <r>
      <rPr>
        <sz val="10"/>
        <color rgb="FF0000FF"/>
        <rFont val="Consolas"/>
        <family val="3"/>
        <charset val="204"/>
      </rPr>
      <t>жесткая оцинкованная</t>
    </r>
    <r>
      <rPr>
        <sz val="10"/>
        <color theme="1" tint="4.9989318521683403E-2"/>
        <rFont val="Consolas"/>
        <family val="3"/>
        <charset val="204"/>
      </rPr>
      <t xml:space="preserve">, внешний </t>
    </r>
    <r>
      <rPr>
        <sz val="10"/>
        <color rgb="FF0000FF"/>
        <rFont val="Consolas"/>
        <family val="3"/>
        <charset val="204"/>
      </rPr>
      <t>ф до 50мм</t>
    </r>
    <r>
      <rPr>
        <sz val="10"/>
        <color theme="1" tint="4.9989318521683403E-2"/>
        <rFont val="Consolas"/>
        <family val="3"/>
        <charset val="204"/>
      </rPr>
      <t xml:space="preserve">, толщина стенки </t>
    </r>
    <r>
      <rPr>
        <sz val="10"/>
        <color rgb="FF0000FF"/>
        <rFont val="Consolas"/>
        <family val="3"/>
        <charset val="204"/>
      </rPr>
      <t>1,2 мм</t>
    </r>
    <r>
      <rPr>
        <sz val="10"/>
        <color theme="1" tint="4.9989318521683403E-2"/>
        <rFont val="Consolas"/>
        <family val="3"/>
        <charset val="204"/>
      </rPr>
      <t xml:space="preserve">
- используется для защиты коммуниацмй в местах вероятных повреждений
- включаяет пробивку и заделку отверстий
- включает установку гильз в перекрытиях
- включает соединение трубостоек
- включает восстановление отделки поверхностей в помещении
- включает наклейки на трубостойки
- включает прочие затраты, все необходимые согласования и разрешения;
- включает исполнительную документацию по МР (при необходимости)</t>
    </r>
  </si>
  <si>
    <r>
      <t xml:space="preserve">Расценка на гофру ПВХ диаметром </t>
    </r>
    <r>
      <rPr>
        <sz val="10"/>
        <color rgb="FF0000FF"/>
        <rFont val="Consolas"/>
        <family val="3"/>
        <charset val="204"/>
      </rPr>
      <t>до 50 мм</t>
    </r>
    <r>
      <rPr>
        <sz val="10"/>
        <color theme="1" tint="4.9989318521683403E-2"/>
        <rFont val="Consolas"/>
        <family val="3"/>
        <charset val="204"/>
      </rPr>
      <t xml:space="preserve">
- использовать гофру (гофротрубку) ПВХ
- включает чистовую заделку отверстий и восстановление поверхностей и их отделки</t>
    </r>
  </si>
  <si>
    <t>Расценка на демонтаж труб, гофры любых диаметров (из состава слаботочных сетей и стояков)
- включает оформление разрешительных документов на доступ к месту размещения демонтируемой  инфраструктуры, помещению или территории размещения
- включает вывоз на утилизацию или сдачу демонтированных материалов представителю Заказчика от Клиента по акту 
- включает вывоз на склад Заказчика и передачу по акту демонтированного материала</t>
  </si>
  <si>
    <r>
      <t xml:space="preserve">Расценки на кабельные лотки (в т.ч. и металлические,перфорированные) </t>
    </r>
    <r>
      <rPr>
        <sz val="10"/>
        <color rgb="FF0000FF"/>
        <rFont val="Consolas"/>
        <family val="3"/>
        <charset val="204"/>
      </rPr>
      <t>до 200 мм; от 200 до 600 мм</t>
    </r>
    <r>
      <rPr>
        <sz val="10"/>
        <color theme="1" tint="4.9989318521683403E-2"/>
        <rFont val="Consolas"/>
        <family val="3"/>
        <charset val="204"/>
      </rPr>
      <t xml:space="preserve">
</t>
    </r>
    <r>
      <rPr>
        <sz val="10"/>
        <color rgb="FF0000FF"/>
        <rFont val="Consolas"/>
        <family val="3"/>
        <charset val="204"/>
      </rPr>
      <t xml:space="preserve">- не путать с коробами и кабельными каналами
- лотки с типоразмером до 200 мм учитываются только по расценке 8.1.9
</t>
    </r>
    <r>
      <rPr>
        <sz val="10"/>
        <color theme="1" tint="4.9989318521683403E-2"/>
        <rFont val="Consolas"/>
        <family val="3"/>
        <charset val="204"/>
      </rPr>
      <t xml:space="preserve">- включает согласование с Заказчиком от Клиента мест установки лотков
- включает обязательное использование комплектующих: заглушки, повороты, углы внутренние, внешние, плоские и Т-образные, соединения на стыки, соединители/переходы, соединительные/распределительные коробки, рамки ввода в стену. </t>
    </r>
    <r>
      <rPr>
        <sz val="10"/>
        <color rgb="FFFF0000"/>
        <rFont val="Consolas"/>
        <family val="3"/>
        <charset val="204"/>
      </rPr>
      <t>Использование не типовых/несоотвествующих коплектующих по указанные типоразмеры не допускаетс</t>
    </r>
    <r>
      <rPr>
        <sz val="10"/>
        <color theme="1" tint="4.9989318521683403E-2"/>
        <rFont val="Consolas"/>
        <family val="3"/>
        <charset val="204"/>
      </rPr>
      <t>я.
- включает заделку отверстий и восстановление поверхностей и их отделки</t>
    </r>
  </si>
  <si>
    <t>Расценки на прокладку кабелей, в т.ч. и кабелей электропитания</t>
  </si>
  <si>
    <r>
      <t xml:space="preserve">Расценка на прокладку UTP категории 5е ёмкостью до </t>
    </r>
    <r>
      <rPr>
        <sz val="10"/>
        <color rgb="FF0000FF"/>
        <rFont val="Consolas"/>
        <family val="3"/>
        <charset val="204"/>
      </rPr>
      <t>4х2</t>
    </r>
    <r>
      <rPr>
        <sz val="10"/>
        <color theme="1" tint="4.9989318521683403E-2"/>
        <rFont val="Consolas"/>
        <family val="3"/>
        <charset val="204"/>
      </rPr>
      <t xml:space="preserve">
- применяется только для СКС
- если иное не оговорено в заказе, прокладывается UTP ёмкостью 4х2
- прокладка и монтаж кабеля в трубе/коробу/кабельному каналу/гофре
- включает концевую заделку/обжимку в оконечных устройствах/коннекторах 
- включает маркировку имиджевыми идентификационными наклейками (при необходимости) в т.ч. и наклейками Зазкчика со стороны Клиента
</t>
    </r>
    <r>
      <rPr>
        <sz val="10"/>
        <color rgb="FF0000FF"/>
        <rFont val="Consolas"/>
        <family val="3"/>
        <charset val="204"/>
      </rPr>
      <t xml:space="preserve">- не включает стоимость оконечных устройств (коннектора,розетки).Эти работы учитывать оп расценкам 8.3.1., 8.3.3.,8.3.4
- не включает стоимость конструкций. Конструкции учитывать по отдельным расценкам 8.1.2-8.1.4; 8.1.6,8.1.7; 8.1.9,8.1.10
- не применяется на объектах В2С при организации линий для подключения оборудования домофонии / СКУД / видеонаблюдения / телеметрии и т.п.
</t>
    </r>
    <r>
      <rPr>
        <sz val="10"/>
        <color theme="1" tint="4.9989318521683403E-2"/>
        <rFont val="Consolas"/>
        <family val="3"/>
        <charset val="204"/>
      </rPr>
      <t>- включает оформление исполнительной документации по МР</t>
    </r>
  </si>
  <si>
    <r>
      <t xml:space="preserve">Расценка на демонтаж UTP (витой пары) из конструкций (коробов,лотков,кабельных каналов,труб,гофротруб и т.д.)
- для двух вариантов демонтажа: для утилизации или для дальнейшего использования.Уточнить у Заказчика до начала работ
</t>
    </r>
    <r>
      <rPr>
        <sz val="10"/>
        <color rgb="FF0000FF"/>
        <rFont val="Consolas"/>
        <family val="3"/>
        <charset val="204"/>
      </rPr>
      <t>- не включает демонтаж оконечных устройств (боксов,коробок,розеток и пр.).Данные работы учитывать по расценке 8.3.2.
-не включает демонтаж конструкций, их демонтаж учитывать по других расценкам (кабельные каналы- 8.1.5, труб / гофры- 8.1.8)</t>
    </r>
  </si>
  <si>
    <r>
      <t xml:space="preserve">Расценки на прокладку,монтаж и трассировку силового кабеля (кабеля электропитания) различной ёмкости </t>
    </r>
    <r>
      <rPr>
        <sz val="10"/>
        <color rgb="FF0000FF"/>
        <rFont val="Consolas"/>
        <family val="3"/>
        <charset val="204"/>
      </rPr>
      <t>(до 5 жил)</t>
    </r>
    <r>
      <rPr>
        <sz val="10"/>
        <color theme="1" tint="4.9989318521683403E-2"/>
        <rFont val="Consolas"/>
        <family val="3"/>
        <charset val="204"/>
      </rPr>
      <t xml:space="preserve"> и сечением </t>
    </r>
    <r>
      <rPr>
        <sz val="10"/>
        <color rgb="FF0000FF"/>
        <rFont val="Consolas"/>
        <family val="3"/>
        <charset val="204"/>
      </rPr>
      <t xml:space="preserve">до 95 мм² </t>
    </r>
    <r>
      <rPr>
        <sz val="10"/>
        <color theme="1" tint="4.9989318521683403E-2"/>
        <rFont val="Consolas"/>
        <family val="3"/>
        <charset val="204"/>
      </rPr>
      <t xml:space="preserve">, в конструкциях (лотках,коробах,кабельных каналах,трубах,гофрах, металлорукавах и т.д.)
- применяется только для СКС
</t>
    </r>
    <r>
      <rPr>
        <sz val="10"/>
        <color rgb="FF0000FF"/>
        <rFont val="Consolas"/>
        <family val="3"/>
        <charset val="204"/>
      </rPr>
      <t>- не применяются для случаев, когда требуется прокладка кабеля сверх заложенных в расценках объёмов (для этого применяются расценки 6.115-6.118)</t>
    </r>
    <r>
      <rPr>
        <sz val="10"/>
        <color theme="1" tint="4.9989318521683403E-2"/>
        <rFont val="Consolas"/>
        <family val="3"/>
        <charset val="204"/>
      </rPr>
      <t xml:space="preserve">
- применяются для случаев отдельной организации подключения электропитания к оборудованияю заказчика, в т.ч. и существующего
- необходимое сечение кабеля определяется Заказчиком в составе выданного заказа или на основании расчётов по мощности/току. </t>
    </r>
    <r>
      <rPr>
        <sz val="10"/>
        <color rgb="FF0000FF"/>
        <rFont val="Consolas"/>
        <family val="3"/>
        <charset val="204"/>
      </rPr>
      <t>Применение кабеля с сечением жил ниже расчётного не допускается</t>
    </r>
    <r>
      <rPr>
        <sz val="10"/>
        <color theme="1" tint="4.9989318521683403E-2"/>
        <rFont val="Consolas"/>
        <family val="3"/>
        <charset val="204"/>
      </rPr>
      <t xml:space="preserve">. Расчёты предоставить и согласовать с Заказчиком на этапе ПИР
- применяется для подключения оборудования сторонних организаций, расположенного на территории Объекта СКС, когда работы выполняются в интересах Заказчика и выданы им в составе отдельного заказа
- включает маркировку имиджевыми и идентификационными наклейками
- включает оформление исполнительной документации по МР
</t>
    </r>
    <r>
      <rPr>
        <sz val="10"/>
        <color rgb="FF0000FF"/>
        <rFont val="Consolas"/>
        <family val="3"/>
        <charset val="204"/>
      </rPr>
      <t>- не включает стоимость конструкций. Конструкции учитывать по отдельным расценкам 8.1.2-8.1.4; 8.1.6,8.1.7; 8.1.9,8.1.10</t>
    </r>
  </si>
  <si>
    <r>
      <t xml:space="preserve">Расценка на демонтаж силового кабеля (провода) из конструкций (коробов,лотков,кабельных каналов,труб,гофротруб и т.д.)
- для двух вариантов демонтажа: для утилизации или для дальнейшего использования.Уточнить у Заказчика до начала работ
- включает демонтаж оконечных устройств (автоматов,коробок,розеток и пр.) со сдачей Заказчику (при необходимости, уточнить у Заказчика)
</t>
    </r>
    <r>
      <rPr>
        <sz val="10"/>
        <color rgb="FF0000FF"/>
        <rFont val="Consolas"/>
        <family val="3"/>
        <charset val="204"/>
      </rPr>
      <t>-не включает демонтаж конструкций, их демонтаж учитывать по других расценкам (кабельные каналы- 8.1.5, труб / гофры- 8.1.8)</t>
    </r>
  </si>
  <si>
    <r>
      <t xml:space="preserve">Расценка на штрабление стен и заделку борозды (штрабы)
</t>
    </r>
    <r>
      <rPr>
        <sz val="10"/>
        <color rgb="FF0000FF"/>
        <rFont val="Consolas"/>
        <family val="3"/>
        <charset val="204"/>
      </rPr>
      <t>- не применяются совместно с расценками, в которых данные работы  уже учтены соотвествующим составом работ в расценках</t>
    </r>
    <r>
      <rPr>
        <sz val="10"/>
        <color theme="1" tint="4.9989318521683403E-2"/>
        <rFont val="Consolas"/>
        <family val="3"/>
        <charset val="204"/>
      </rPr>
      <t xml:space="preserve">
- применяются для любых поверхностей
- размер/глубина штрабы (борозды) определяется закладываемыми коммуникациями (указывается в составе Заказа) или отдельно указывается в Заказе на усмотрение Заказчика
- включает чистовую заделку, с восстановлением отделки поверхности, в т.ч. и окраску под цвет основной поверхности с подбором совпадающего оттенка (при необходимости)</t>
    </r>
  </si>
  <si>
    <r>
      <t xml:space="preserve">Расценка на АЛ из </t>
    </r>
    <r>
      <rPr>
        <sz val="10"/>
        <color rgb="FF0000FF"/>
        <rFont val="Consolas"/>
        <family val="3"/>
        <charset val="204"/>
      </rPr>
      <t>UTP 4х2 открытым способом, в т.ч. и по штрабе</t>
    </r>
    <r>
      <rPr>
        <sz val="10"/>
        <color theme="1" tint="4.9989318521683403E-2"/>
        <rFont val="Consolas"/>
        <family val="3"/>
        <charset val="204"/>
      </rPr>
      <t xml:space="preserve">
- прокладка и монтаж кабеля по стене,потолку или внутри подготовленной штрабы/борозды
</t>
    </r>
    <r>
      <rPr>
        <sz val="10"/>
        <color rgb="FF0000FF"/>
        <rFont val="Consolas"/>
        <family val="3"/>
        <charset val="204"/>
      </rPr>
      <t>- не включает стоимость штрабления стен и заделки штрабы/борозды. Эти работы учитывать по расценке 8.2.11</t>
    </r>
    <r>
      <rPr>
        <sz val="10"/>
        <color theme="1" tint="4.9989318521683403E-2"/>
        <rFont val="Consolas"/>
        <family val="3"/>
        <charset val="204"/>
      </rPr>
      <t xml:space="preserve">
- размещение с креплением открытым способом на потолке подразумевает использование обязательных крепёжных элементов - пластиковых монтажных площадок
- включает концевую заделку/обжимку в оконечных устройствах/коннекторах  
- включает маркировку имиджевыми идентификационными наклейками
- включает оформление исполнительной документации по МР
</t>
    </r>
    <r>
      <rPr>
        <sz val="10"/>
        <color rgb="FF0000FF"/>
        <rFont val="Consolas"/>
        <family val="3"/>
        <charset val="204"/>
      </rPr>
      <t>- не включает стоимость оконечных устройств (коннектора,розетки).Эти работы учитывать оп расценкам 8.3.1., 8.3.3.,8.3.4
- Не применяется на объектах при организации линий для подключения оборудования домофонии / СКУД / видеонаблюдения / телеметрии и т.п.</t>
    </r>
  </si>
  <si>
    <r>
      <t>Расценки на прокладку,монтаж и трассировку силового кабеля (кабеля электропитания) различной ёмкости</t>
    </r>
    <r>
      <rPr>
        <sz val="10"/>
        <color rgb="FF0000FF"/>
        <rFont val="Consolas"/>
        <family val="3"/>
        <charset val="204"/>
      </rPr>
      <t xml:space="preserve"> (до 5 жил)</t>
    </r>
    <r>
      <rPr>
        <sz val="10"/>
        <color theme="1" tint="4.9989318521683403E-2"/>
        <rFont val="Consolas"/>
        <family val="3"/>
        <charset val="204"/>
      </rPr>
      <t xml:space="preserve"> и сечением </t>
    </r>
    <r>
      <rPr>
        <sz val="10"/>
        <color rgb="FF0000FF"/>
        <rFont val="Consolas"/>
        <family val="3"/>
        <charset val="204"/>
      </rPr>
      <t>до 95 мм²</t>
    </r>
    <r>
      <rPr>
        <sz val="10"/>
        <color theme="1" tint="4.9989318521683403E-2"/>
        <rFont val="Consolas"/>
        <family val="3"/>
        <charset val="204"/>
      </rPr>
      <t xml:space="preserve"> , открытым способом
- применяется только для СКС
</t>
    </r>
    <r>
      <rPr>
        <sz val="10"/>
        <color rgb="FF0000FF"/>
        <rFont val="Consolas"/>
        <family val="3"/>
        <charset val="204"/>
      </rPr>
      <t>- не применяются для случаев, когда требуется прокладка кабеля сверх заложенных в расценках объёмов (для этого применяются расценки 6.115-6.118)</t>
    </r>
    <r>
      <rPr>
        <sz val="10"/>
        <color theme="1" tint="4.9989318521683403E-2"/>
        <rFont val="Consolas"/>
        <family val="3"/>
        <charset val="204"/>
      </rPr>
      <t xml:space="preserve">
- применяются для случаев отдельной организации подключения электропитания к оборудованияю заказчика, в т.ч. и существующего
- необходимое сечение кабеля определяется Заказчиком в составе выданного заказа или на основании расчётов по мощности/току. Применение кабеля с сечением жил ниже расчётного не допускается. Расчёты предоставить и согласовать с Заказчиком на этапе ПИР
- применяется для подключения оборудования сторонних организаций, расположенного на территории Объекта СКС, когда работы выполняются в интересах Заказчика и выданы им в составе отдельного заказа
- включает маркировку имиджевыми и идентификационными наклейками
- включает оформление исполнительной документации по МР
</t>
    </r>
    <r>
      <rPr>
        <sz val="10"/>
        <color rgb="FF0000FF"/>
        <rFont val="Consolas"/>
        <family val="3"/>
        <charset val="204"/>
      </rPr>
      <t>- не включает стоимость штрабления стен и заделки штрабы/борозды. Эти работы учитывать по расценке 8.2.11</t>
    </r>
  </si>
  <si>
    <r>
      <t xml:space="preserve">Расценка на строительство сетей на коаксиальных кабелях по существующим конструкциям в проектах СКС
- применяется только для СКС
- включая стоимость коаксиального кабеля любого типа
- включает прокладку коаксиального кабеля под отдельные тех. решения , в т.ч. и ЛВС по отдельному заказу 
- включает монтаж АК, делителей, ответвителей, нагрузок, шнуров (при необходимости)
- включает оформление разрешительных документов (включая все согласования) необходимых при строительстве ДРС КТВ, ЛВС
- включает оформление исполнительной документации по МР
</t>
    </r>
    <r>
      <rPr>
        <sz val="10"/>
        <color rgb="FF0000FF"/>
        <rFont val="Consolas"/>
        <family val="3"/>
        <charset val="204"/>
      </rPr>
      <t>- не включает  стоимость оптического приемника КТВ,роутеров,маршрутизаторов,видеорегистраторов и другого активного оборудования
- не включает стоимость конструкций. Конструкции учитывать по отдельным расценкам 8.1.2-8.1.4; 8.1.6,8.1.7; 8.1.9,8.1.10
- не применяется для строительства АГС в жилых домах
- не применяется совместно с расценкой 6.7</t>
    </r>
  </si>
  <si>
    <r>
      <t xml:space="preserve">Расценка на установку абонентских розеток открытого или скрытого типа, в т.ч. на конструкциях
- применяется только для СКС
- применяется для концевой заделки существующих линий сетей СКС
</t>
    </r>
    <r>
      <rPr>
        <sz val="10"/>
        <color rgb="FF0000FF"/>
        <rFont val="Consolas"/>
        <family val="3"/>
        <charset val="204"/>
      </rPr>
      <t xml:space="preserve">- не применяется для вновь прокладываемых абонентских линий 
- не применяется совместно с расценками на АГС (6.38-6.55) и 6.58,6.59
</t>
    </r>
    <r>
      <rPr>
        <sz val="10"/>
        <color theme="1" tint="4.9989318521683403E-2"/>
        <rFont val="Consolas"/>
        <family val="3"/>
        <charset val="204"/>
      </rPr>
      <t xml:space="preserve">- включает монтаж наружной/внутренней абонентской розетки (при необходимости)
- включает устройство, при необходимости, отверстия в стене с  заделкой (с установкой гильз) для перекладывания подключаемых существующих абонентских линий,  устройство гнезд для подрозетников 
- включает восстановление отделки/покраски поверхностей после установки
- включает в себя розетки типа RJ-45/11,ТВ одиночные разъем F.Тип розетки определяется Заказчиком в составе заказа
- подлежит обязательному согласованию с Заказчиком БИС и Заказчиком со стороны Клиента на этапе ПИР с предоставлением образцов
- включает маркировку имиджевыми, идентификационными наклейками (при необходимости)
</t>
    </r>
    <r>
      <rPr>
        <sz val="10"/>
        <color rgb="FF0000FF"/>
        <rFont val="Consolas"/>
        <family val="3"/>
        <charset val="204"/>
      </rPr>
      <t>- не включает стоимость кабеля</t>
    </r>
  </si>
  <si>
    <r>
      <t xml:space="preserve">Расценка на демонтаж розеток, в т.ч. и из конструкций (коробов,лотков,кабельных каналов,труб,гофротруб и т.д.) для сетей СКС
- включает демонтаж розеток с любых поверхностей,конструкций
- для двух вариантов демонтажа: для утилизации или для дальнейшего использования.Уточнить у Заказчика до начала работ
</t>
    </r>
    <r>
      <rPr>
        <sz val="10"/>
        <color rgb="FF0000FF"/>
        <rFont val="Consolas"/>
        <family val="3"/>
        <charset val="204"/>
      </rPr>
      <t>-не включает демонтаж конструкций, их демонтаж учитывать по других расценкам (кабельные каналы- 8.1.5, труб / гофры- 8.1.8)</t>
    </r>
  </si>
  <si>
    <t>Расценки на обжим коннекторов RJ11 (телефония),RJ 45 (сетевой)
- применяется для обжима проложенных линий телефонии и ЛВС в сетях СКС, которые предназначены для включения в ранее установленные/существующие розетки или устройства Заказчика со стороны Клиента</t>
  </si>
  <si>
    <t>Расценки на обжим коннекторов BNC (видеонаблюдение и пр.)
- применяется для обжима проложенных линий тв/наблюдения и ЛВС в сетях СКС, которые предназначены для включения в ранее установленные/существующие розетки или устройства Заказчика со стороны Клиента</t>
  </si>
  <si>
    <r>
      <t>Расценка на установку автоматического выключателя</t>
    </r>
    <r>
      <rPr>
        <sz val="10"/>
        <color rgb="FF0000FF"/>
        <rFont val="Consolas"/>
        <family val="3"/>
        <charset val="204"/>
      </rPr>
      <t xml:space="preserve"> до 63 А включительно</t>
    </r>
    <r>
      <rPr>
        <sz val="10"/>
        <color theme="1" tint="4.9989318521683403E-2"/>
        <rFont val="Consolas"/>
        <family val="3"/>
        <charset val="204"/>
      </rPr>
      <t xml:space="preserve"> (на объектах СКС)
- включает стоимости автоматического выключателя и всех расходных и монтажных материалов</t>
    </r>
  </si>
  <si>
    <r>
      <t xml:space="preserve">Расценка на установку автоматического выключателя </t>
    </r>
    <r>
      <rPr>
        <sz val="10"/>
        <color rgb="FF0000FF"/>
        <rFont val="Consolas"/>
        <family val="3"/>
        <charset val="204"/>
      </rPr>
      <t>до 25А,от 25А до 63А включительно</t>
    </r>
    <r>
      <rPr>
        <sz val="10"/>
        <color theme="1" tint="4.9989318521683403E-2"/>
        <rFont val="Consolas"/>
        <family val="3"/>
        <charset val="204"/>
      </rPr>
      <t xml:space="preserve">
- включает стоимости автоматического выключателя и всех расходных и монтажных материалов</t>
    </r>
  </si>
  <si>
    <r>
      <t xml:space="preserve">Расценка на установку выключателя нагрузки </t>
    </r>
    <r>
      <rPr>
        <sz val="10"/>
        <color rgb="FF0000FF"/>
        <rFont val="Consolas"/>
        <family val="3"/>
        <charset val="204"/>
      </rPr>
      <t>до 40А,более 40А</t>
    </r>
    <r>
      <rPr>
        <sz val="10"/>
        <color theme="1" tint="4.9989318521683403E-2"/>
        <rFont val="Consolas"/>
        <family val="3"/>
        <charset val="204"/>
      </rPr>
      <t xml:space="preserve">
- включает стоимости выключателя нагрузки и всех расходных и монтажных материалов
- не путать автоматический выключатель и выключатель нагрузки</t>
    </r>
  </si>
  <si>
    <r>
      <t xml:space="preserve">Монтаж боксов(щитов) распределительных электрических и др. </t>
    </r>
    <r>
      <rPr>
        <sz val="10"/>
        <color rgb="FF0000FF"/>
        <rFont val="Consolas"/>
        <family val="3"/>
        <charset val="204"/>
      </rPr>
      <t>до 24 модулей, более 24 модулей</t>
    </r>
    <r>
      <rPr>
        <sz val="10"/>
        <color theme="1" tint="4.9989318521683403E-2"/>
        <rFont val="Consolas"/>
        <family val="3"/>
        <charset val="204"/>
      </rPr>
      <t xml:space="preserve">
</t>
    </r>
    <r>
      <rPr>
        <sz val="10"/>
        <color rgb="FF0000FF"/>
        <rFont val="Consolas"/>
        <family val="3"/>
        <charset val="204"/>
      </rPr>
      <t xml:space="preserve">- применяется, в том числе, для установки слаботочного щита/межэтажного распределительного щита (шкафа, бокса, ниши) при строительстве систем слаботочных каналов в жилых домах, при этом стоимость учитывается следующим образом (условие не применимо на объектах СКС):
  1. Если размер необходимого щита/шкафа/бокса/ниши в мм менее,чем 350х300х100 (ВхШхГ),то применяется расценка 8.4.6 без применения дополнительных коэффициентов
  2. Если размер необходимого щита/шкафа/бокса/ниши в мм больше,чем 350х300х100 (ВхШхГ),то применяется расценка 8.4.7 с применением дополнительного коэффициента к расценке к=0,7
  3. Шкаф должен иметь внутреннюю оснастку для крепления оконечных устройств (рам/опор с плинтами, патч-панелей, ТАН, сплиттеров и др.)
</t>
    </r>
    <r>
      <rPr>
        <sz val="10"/>
        <color theme="1" tint="4.9989318521683403E-2"/>
        <rFont val="Consolas"/>
        <family val="3"/>
        <charset val="204"/>
      </rPr>
      <t xml:space="preserve">- монтаж шкафа (вид,тип согласовать с Заказчиком отдельно,с обязательным предоставлением образца), комплектного к размещению автоматическими выключателями (крепежные конструкции/дин-рейки)
- включает стоимость щита (шкафа,бокса), шины заземления, запорного устройства, имиджевых наклеек, внутренней оснастки для крепления оконечных устройств (рам/опор с плинтами, патч-панелей, ТАН, сплиттеров и др.)
- включает монтаж щита на лестничных площадках, этажах, помещениях и т.д.; устройство заземления щита и внутренних элементов
- включает навесные и внутренние/врезные шкафы
- включает имиджевые наклейки и пр. элементы по комплектации в ТЗ
- восстановление целостности и отделки поверхностей после монтажа щита и заземления
- включает оформление разрешительных документов на размещение
- включает справки о выполнении ТУ от собственников инфраструктуры (при необходимости)
- оформление документов, подтверждающих право собственности Заказчика на смонтированное оборудование у Застройщика или УК
</t>
    </r>
    <r>
      <rPr>
        <sz val="10"/>
        <color rgb="FF0000FF"/>
        <rFont val="Consolas"/>
        <family val="3"/>
        <charset val="204"/>
      </rPr>
      <t>- не включает прокладку и стоимость силовых кабелей</t>
    </r>
  </si>
  <si>
    <r>
      <t xml:space="preserve">Расценка на установку электрических розеток/электричеких выключателей открытого или скрытого типа, в т.ч. на конструкциях
- применяется только для СКС
- включает розетки в т.ч. и  с заземляющим контактом (евростандарт).Вид, тип согласовать с Закзачиком отдельно с предоставлением образцов
- применяется для концевой заделки линий элктропитания и освещения на Объекте СКС
- включает монтаж наружной/внутренней электророзетки розетки (при необходимости)
- включает устройство, при необходимости, отверстия в стене с  заделкой (с установкой гильз) для перекладывания подключаемых существующих электричеких линий, устройство гнезд для подрозетников 
- включает восстановление отделки/покраски поверхностей после установки (при необходимости)
- включает маркировку имиджевыми, идентификационными наклейками (при необходимости)
</t>
    </r>
    <r>
      <rPr>
        <sz val="10"/>
        <color rgb="FF0000FF"/>
        <rFont val="Consolas"/>
        <family val="3"/>
        <charset val="204"/>
      </rPr>
      <t>- не включает стоимость кабеля</t>
    </r>
  </si>
  <si>
    <r>
      <t xml:space="preserve">Расценка на демонтаж электророзеток/электровыключателей, в т.ч. и из конструкций (коробов,лотков,кабельных каналов,труб,гофротруб и т.д.) для сетей СКС
- включает демонтаж розеток/выключателей с любых поверхностей,конструкций
- для двух вариантов демонтажа: для утилизации или для дальнейшего использования.Уточнить у Заказчика до начала работ
</t>
    </r>
    <r>
      <rPr>
        <sz val="10"/>
        <color rgb="FF0000FF"/>
        <rFont val="Consolas"/>
        <family val="3"/>
        <charset val="204"/>
      </rPr>
      <t>-не включает демонтаж конструкций, их демонтаж учитывать по других расценкам (кабельные каналы- 8.1.5, труб / гофры- 8.1.8)</t>
    </r>
  </si>
  <si>
    <t>Расценка на монтаж разветвительной коробки (монтажной ,распаечной)
- применяется только для электролиний на объектах СКС
- включает все работы по установке,креплению и расключению разветвительной коробки открытого или скрытого типа
- включает восстановление отделки/покраски поверхностей после установки
- включает получение всех необходимых согласований, в т.ч. и с собственниками жилых помещений, владельцами зданий,территорий
- количество вводов согласовать на этапе ПИР с Заказчиком
- включает оформление исполнительной документации по МР</t>
  </si>
  <si>
    <t>Расценка на монтаж шины заземления ГЗШ (главная шина заземления)
- применяется только на объектах СКС
- включает стоимость самой шины,все подключения</t>
  </si>
  <si>
    <t>Монтаж оборудования и пр. на объектах СКС</t>
  </si>
  <si>
    <r>
      <t xml:space="preserve">Расценка на монтаж патч-панели/кросс-панели на </t>
    </r>
    <r>
      <rPr>
        <sz val="10"/>
        <color rgb="FF0000FF"/>
        <rFont val="Consolas"/>
        <family val="3"/>
        <charset val="204"/>
      </rPr>
      <t xml:space="preserve">24 порта/ 48 портов </t>
    </r>
    <r>
      <rPr>
        <sz val="10"/>
        <color theme="1" tint="4.9989318521683403E-2"/>
        <rFont val="Consolas"/>
        <family val="3"/>
        <charset val="204"/>
      </rPr>
      <t xml:space="preserve">в шкаф/стойку
- применяется только на объектах СКС
- включает стоимость панели и крепежных элементов
</t>
    </r>
    <r>
      <rPr>
        <sz val="10"/>
        <color rgb="FF0000FF"/>
        <rFont val="Consolas"/>
        <family val="3"/>
        <charset val="204"/>
      </rPr>
      <t>- не включает стоимость разделки и расшивки (концевой заделки) медножильных кабелей на портах панели. Данные работы надо учитывать по расценке 8.5.6</t>
    </r>
  </si>
  <si>
    <t>1-я ед. оборудования</t>
  </si>
  <si>
    <r>
      <t xml:space="preserve">Расценка на монтаж оборудования в шкаф/стойку на объектах СКС
- включает электромонтажные работы (при необходимости),  стоимость силового кабеля (при необходимости) и монтажных материалов,бирки на кабель.
</t>
    </r>
    <r>
      <rPr>
        <sz val="10"/>
        <color rgb="FF0000FF"/>
        <rFont val="Consolas"/>
        <family val="3"/>
        <charset val="204"/>
      </rPr>
      <t>- не включает стоимость  активного оборудования, монтаж и стоимость стойки, шкафа</t>
    </r>
    <r>
      <rPr>
        <sz val="10"/>
        <color theme="1" tint="4.9989318521683403E-2"/>
        <rFont val="Consolas"/>
        <family val="3"/>
        <charset val="204"/>
      </rPr>
      <t xml:space="preserve">
- учет второй и последующих единиц монтируемого оборудваония строго с учётом указанных коэффициентов к базовой расценке</t>
    </r>
  </si>
  <si>
    <t>Расценка на разделку и расшику (концевую заделку) медножильных кабелей,МПК, на патч-панелях/кросс-панелях на объектах СКС
- применяется только на объектах СКС
- предназначена для существующих медножильных кабелей, которые требуется оконечить или произвести замену оконечных устройств
- включает маркировку имиджевыми, идентификационными наклейками существующих кабелей рядом с панелями (при необходимости)</t>
  </si>
  <si>
    <r>
      <t xml:space="preserve">Расценка на монтаж медножильных патч-кордов длиной </t>
    </r>
    <r>
      <rPr>
        <sz val="10"/>
        <color rgb="FF0000FF"/>
        <rFont val="Consolas"/>
        <family val="3"/>
        <charset val="204"/>
      </rPr>
      <t>до 5 м</t>
    </r>
    <r>
      <rPr>
        <sz val="10"/>
        <color theme="1" tint="4.9989318521683403E-2"/>
        <rFont val="Consolas"/>
        <family val="3"/>
        <charset val="204"/>
      </rPr>
      <t xml:space="preserve"> на объектах СКС
- применяется только на объектах СКС
- включает стоимость патч-кордов и расходных материалов 
- включает прочие расходы (включая транспортные)
- включает работ по коммутации на объекте с использованием данного патч-корда</t>
    </r>
  </si>
  <si>
    <t>Расценка на маркировку розеток и портов патч-панелей на объектах СКС
- применяется только на объектах СКС
- применяется для маркировки (идентификации) розеток с привязкой к портам патч-панелей
- включает прозвонку линий для определеия соответствия портов патч-панели и розеток в помещениях (при необходимости)
- до выполнения работ принцип маркировки,шаблон и способ реализации согласовать с представителями Заказчика от Клиента (кураторами СКС)
- если иное не оговорено Заказчиком , маркировку допускается выполнять нанесением маркировки на розетки и патч-панели перманентным маркером темного цвета (на светлых конструкциях). Маркировка должна четко читаться, иметь аккуратное (каллиграфическое) написание букв и цифр. На темных конструкциях маркировку выполнять либо белым маркером, либо наклейкой светлых наклеек с темной маркировкой на них</t>
  </si>
  <si>
    <r>
      <t xml:space="preserve">Расценка на демонтаж оборудования в шкафах/стойках объектов СКС
- применяется только на объектах СКС
</t>
    </r>
    <r>
      <rPr>
        <sz val="10"/>
        <color rgb="FF0000FF"/>
        <rFont val="Consolas"/>
        <family val="3"/>
        <charset val="204"/>
      </rPr>
      <t>- не включает работы по демонтажу телекоммуникационных шкафов/стоек. Данные работы учитываются по расценкам 6.35,6.36.</t>
    </r>
    <r>
      <rPr>
        <sz val="10"/>
        <color theme="1" tint="4.9989318521683403E-2"/>
        <rFont val="Consolas"/>
        <family val="3"/>
        <charset val="204"/>
      </rPr>
      <t xml:space="preserve">
- включает оформление разрешительных документов на доступ к месту размещения оборудования, помещению или территории размещения
- включает передачу Заказчику вместе с демонтированным оборудованием набора крепежных и соединительных элементов с предыдущего места установки, включая патч-корды и т.п.
- включает восстановление комплектности крепежных,соединительных и конструктивных элементов демонтированного оборудования,утеря которого произошла  с момента передачи в демонтаж и до момента передачи Заказчику по акту сдачи-приёмки на новом месте установки или на складе Заказчика</t>
    </r>
  </si>
  <si>
    <r>
      <t xml:space="preserve">Расценка на тестирования (измерение) соединений на кабелях UTP/STP на соответствии категории на объектах СКС
- применяется для </t>
    </r>
    <r>
      <rPr>
        <sz val="10"/>
        <color rgb="FF0000FF"/>
        <rFont val="Consolas"/>
        <family val="3"/>
        <charset val="204"/>
      </rPr>
      <t xml:space="preserve">существующих/модернизируемых </t>
    </r>
    <r>
      <rPr>
        <sz val="10"/>
        <color theme="1" tint="4.9989318521683403E-2"/>
        <rFont val="Consolas"/>
        <family val="3"/>
        <charset val="204"/>
      </rPr>
      <t xml:space="preserve">линий на объекте
- выдается отдельным Заказом
</t>
    </r>
    <r>
      <rPr>
        <sz val="10"/>
        <color rgb="FF0000FF"/>
        <rFont val="Consolas"/>
        <family val="3"/>
        <charset val="204"/>
      </rPr>
      <t>- не применяется для вновь проложенных линий,где работы по измерениям (тестированию линков) учтены расценкой на прокладку</t>
    </r>
  </si>
  <si>
    <t>Расценка на ПНР в электромонтажных работах
- применяется только на объектах СКС
- выдается отдельным Заказом</t>
  </si>
  <si>
    <r>
      <t xml:space="preserve">Расценки на технологические отверстия в стенах ,размеры </t>
    </r>
    <r>
      <rPr>
        <sz val="10"/>
        <color rgb="FF0000FF"/>
        <rFont val="Consolas"/>
        <family val="3"/>
        <charset val="204"/>
      </rPr>
      <t>50 мм, 100 мм, 300 мм</t>
    </r>
    <r>
      <rPr>
        <sz val="10"/>
        <color theme="1" tint="4.9989318521683403E-2"/>
        <rFont val="Consolas"/>
        <family val="3"/>
        <charset val="204"/>
      </rPr>
      <t xml:space="preserve">
- применяются </t>
    </r>
    <r>
      <rPr>
        <sz val="10"/>
        <color rgb="FF0000FF"/>
        <rFont val="Consolas"/>
        <family val="3"/>
        <charset val="204"/>
      </rPr>
      <t>только для работ по прокладке и монтажу лотков  и др. систем горизонтальных слаботочных коммуникаций</t>
    </r>
    <r>
      <rPr>
        <sz val="10"/>
        <color theme="1" tint="4.9989318521683403E-2"/>
        <rFont val="Consolas"/>
        <family val="3"/>
        <charset val="204"/>
      </rPr>
      <t xml:space="preserve"> по указанным расценкам при соблюдении нескольких условий:
1. Это должны быть капитальные/несущие стены с толщиной не менее 0,6 м
2. Отсутствует альтернативный вариант трассы прокладки/монтажа лотков,при котором не требуется выполнение этого отверстия или альтернативный вариант приводит к удлинению трассы прокладки с общим удорожанием, превышающим стоимость монтажа таких отверстий
- выдается отдельным Заказом</t>
    </r>
  </si>
  <si>
    <t>Расценка на укладку антистатического линолеума
- включает стоимость самого линолеума и всех материалов,в т.ч. и расходных
- обязательное согласование матариала с Заказчиком,в т.ч. и с Заказчиком от Клиента в случае выполнения работ в интересах Заказчика от БИС по отдельному заказу</t>
  </si>
  <si>
    <t>Расценка на монтаж фальш-пола
- включает оформление схемы размещения и общего вида конструктива на объекте  с сосгласованием у Заказчика,в т.ч. и у Заказчиком от Клиента в случае выполнения работ в интересах Заказчика от БИС по отдельному заказу
- включает стоимость комплектующих (конструкций,плит, креплений и т.д.) и всех материалов,в т.ч. и расходных
- обязательное согласование матариала с Заказчиком,в т.ч. и с Заказчиком от Клиента в случае выполнения работ в интересах Заказчика от БИС по отдельному заказу</t>
  </si>
  <si>
    <t>Расценка на работы на существующем фальш-полу (частичный демонтаж/монтаж)
- применяется для работ на существующих конструкциях фальш-пола на объекте
- включает полное восстановление внешнего вида после проведения работ
- включает восстановление лакокрасочного покрытия демонтированных конструкций/плит,пострадавших с момента передачи в демонтаж и до момента передачи Заказчику по акту сдачи-приёмки объекта
- включает восстановление комплектности крепежных,соединительных и конструктивных элементов демонтированных конструкций/плит,утеря которых произошла  с момента передачи в демонтаж и до момента передачи Заказчику объекта по акту сдачи-приёмки</t>
  </si>
  <si>
    <r>
      <t xml:space="preserve">Расценка на работы на существующем фальш-потолке (частичный демонтаж/монтаж конструкций и плиток)
- применяется для работ на существующих конструкциях фальш-потолка на объекте
</t>
    </r>
    <r>
      <rPr>
        <sz val="10"/>
        <color rgb="FF0000FF"/>
        <rFont val="Consolas"/>
        <family val="3"/>
        <charset val="204"/>
      </rPr>
      <t>- не применяется в случаях вынужденного демонтажа/монтажа конструкций из-за некачественных работ по демонтажу/монтажу плиток. В этом случае демонтаж/монтаж конструкций не учитывается, работы учитываются по расценке 8.7.8, восстановление конструкций подрядчик проводит за свой счёт</t>
    </r>
    <r>
      <rPr>
        <sz val="10"/>
        <color theme="1" tint="4.9989318521683403E-2"/>
        <rFont val="Consolas"/>
        <family val="3"/>
        <charset val="204"/>
      </rPr>
      <t xml:space="preserve">
- включает полное восстановление внешнего вида после проведения работ
- включает восстановление лакокрасочного покрытия демонтированных конструкций/плит,пострадавших с момента передачи в демонтаж и до момента передачи Заказчику по акту сдачи-приёмки объекта
- включает восстановление комплектности крепежных,соединительных и конструктивных элементов демонтированных конструкций/плит,утеря которых произошла  с момента передачи в демонтаж и до момента передачи Заказчику объекта по акту сдачи-приёмки</t>
    </r>
  </si>
  <si>
    <r>
      <t>Расценка на работы на существующем фальш-потолке (частичный демонтаж/монтаж плиток)
- применяется для случаев,</t>
    </r>
    <r>
      <rPr>
        <sz val="10"/>
        <color rgb="FF0000FF"/>
        <rFont val="Consolas"/>
        <family val="3"/>
        <charset val="204"/>
      </rPr>
      <t>когда процедуре демонтажа/монтажа подвергаются только плитки, без демонтажа/монтажа поддерживающих конструкций/каркаса</t>
    </r>
    <r>
      <rPr>
        <sz val="10"/>
        <color theme="1" tint="4.9989318521683403E-2"/>
        <rFont val="Consolas"/>
        <family val="3"/>
        <charset val="204"/>
      </rPr>
      <t xml:space="preserve">
- применяется для работ на существующих конструкциях фальш-потолка на объекте
- включает полное восстановление внешнего вида после проведения работ
- включает восстановление лакокрасочного покрытия демонтированных конструкций/плит,пострадавших с момента передачи в демонтаж и до момента передачи Заказчику по акту сдачи-приёмки объекта
- включает восстановление комплектности крепежных,соединительных и конструктивных элементов демонтированных конструкций/плит,утеря которых произошла  с момента передачи в демонтаж и до момента передачи Заказчику объекта по акту сдачи-приёмки</t>
    </r>
  </si>
  <si>
    <t>Расценка на работы на существующем вентилируемом фасаде (алюкобонд, фасадная керамическая плитка)
- применяется для работ на существующих конструкциях вентилируемых фасадов на объекте
- в случае повреждения каркасных конструкций фасада из-за некачественных работ по демонтажу/монтажу плиток восстановление конструкций подрядчик проводит за свой счёт
- включает полное восстановление внешнего вида после проведения работ
- включает восстановление лакокрасочного покрытия демонтированных конструкций/плит,пострадавших с момента передачи в демонтаж и до момента передачи Заказчику по акту сдачи-приёмки объекта
- включает восстановление комплектности крепежных,соединительных и конструктивных элементов демонтированных конструкций/плит,утеря которых произошла  с момента передачи в демонтаж и до момента передачи Заказчику объекта по акту сдачи-приёмки</t>
  </si>
  <si>
    <r>
      <t xml:space="preserve">Расценка/повышающий коэффициент на работы в объекте СКС для работ на высоте </t>
    </r>
    <r>
      <rPr>
        <sz val="10"/>
        <color rgb="FF0000FF"/>
        <rFont val="Consolas"/>
        <family val="3"/>
        <charset val="204"/>
      </rPr>
      <t>выше 4 м</t>
    </r>
    <r>
      <rPr>
        <sz val="10"/>
        <color theme="1" tint="4.9989318521683403E-2"/>
        <rFont val="Consolas"/>
        <family val="3"/>
        <charset val="204"/>
      </rPr>
      <t xml:space="preserve">
- применяется только на работы объектов СКС и к соотвествующим расценкам раздела
- условия применения оговариваются на этапе согласования рабочей и проектной документации по всему Объекту,с указанием отсуствия  альтернативного варианта проведения работ,при котором не требуется проводить эти работы на высоте свыше 4 м или для случаев когда альтрнативный вариант приводит к удорожанию проекта, превышающему затраты на применение этого коэффициента к основному варианту или проведение работ на такой высоет является условием согласования технических решений со стороны Заказчика от Клиента</t>
    </r>
  </si>
  <si>
    <r>
      <t xml:space="preserve">Расценка на монтаж/установку АРМ на объекте СКС
- включает маркировку имиджевыми и идентификационными наклейками
- включает получение всех необходимых согласований на организацию АРМ, в т.ч. и с собствениками жилых помещений, владельцами зданий,территорий и Заказчиком со стороны Клиента
- включает оформления схемы/плана размещения элементов АРМ в помещении по запросу Заказчика с включением в дальнейшем указанной схемы в состав РД /ПСД по объекту
</t>
    </r>
    <r>
      <rPr>
        <sz val="10"/>
        <color rgb="FF0000FF"/>
        <rFont val="Consolas"/>
        <family val="3"/>
        <charset val="204"/>
      </rPr>
      <t>- не включает настройку и тестирование комплекта оборудования АРМ.Данные работы учитывать по расценке 8.8.5</t>
    </r>
  </si>
  <si>
    <r>
      <t xml:space="preserve">Расценка на установку/замену ИБП для АРМ
</t>
    </r>
    <r>
      <rPr>
        <sz val="10"/>
        <color rgb="FF0000FF"/>
        <rFont val="Consolas"/>
        <family val="3"/>
        <charset val="204"/>
      </rPr>
      <t>- не включает стоимость ИБП</t>
    </r>
    <r>
      <rPr>
        <sz val="10"/>
        <color theme="1" tint="4.9989318521683403E-2"/>
        <rFont val="Consolas"/>
        <family val="3"/>
        <charset val="204"/>
      </rPr>
      <t xml:space="preserve">
- применяется на существующих АРМ на Объекте (при доукомплектовании/модернизации и т.д.)
- оформляется отдельным Заказом</t>
    </r>
  </si>
  <si>
    <r>
      <t xml:space="preserve">Расценка на установку/замену перефирийного устройства для АРМ
</t>
    </r>
    <r>
      <rPr>
        <sz val="10"/>
        <color rgb="FF0000FF"/>
        <rFont val="Consolas"/>
        <family val="3"/>
        <charset val="204"/>
      </rPr>
      <t>- не включает стоимость переферийного устройства</t>
    </r>
    <r>
      <rPr>
        <sz val="10"/>
        <color theme="1" tint="4.9989318521683403E-2"/>
        <rFont val="Consolas"/>
        <family val="3"/>
        <charset val="204"/>
      </rPr>
      <t xml:space="preserve">
- включает настройки и тестирование работы
- применяется на существующих АРМ на Объекте (при доукомплектовании/модернизации и т.д.)
- оформляется отдельным Заказом</t>
    </r>
  </si>
  <si>
    <t>Расценка на демонтаж АРМ/переферийных устройств на  объектах СКС
- включает оформление разрешительных документов на доступ к месту размещения оборудования, помещению или территории размещения
- включает передачу Заказчику БИС или Заказчику от Клиента  вместе с демонтированным оборудованием набора соединительных шнуров, переферийных устройств по акут приёма-передачи
- включает восстановление комплектности демонтированного оборудования,утеря которого произошла  с момента передачи в демонтаж и до момента передачи Заказчику по акту сдачи-приёмки на новом месте установки или на складе Заказчика</t>
  </si>
  <si>
    <r>
      <t xml:space="preserve">Расценка на настройку и тестирование работоспособности АРМ
- включает передачу АРМ Заказчику БИС или Заказчику от Клиента с демонстрацией работоспособности по акту
</t>
    </r>
    <r>
      <rPr>
        <sz val="10"/>
        <color rgb="FF0000FF"/>
        <rFont val="Consolas"/>
        <family val="3"/>
        <charset val="204"/>
      </rPr>
      <t>- не включает стоимость ПО</t>
    </r>
  </si>
  <si>
    <r>
      <t xml:space="preserve">Расценка на установку/монтаж телевизионных панелей диагональю </t>
    </r>
    <r>
      <rPr>
        <sz val="10"/>
        <color rgb="FF0000FF"/>
        <rFont val="Consolas"/>
        <family val="3"/>
        <charset val="204"/>
      </rPr>
      <t>до 55",свыше 55"</t>
    </r>
    <r>
      <rPr>
        <sz val="10"/>
        <color theme="1"/>
        <rFont val="Consolas"/>
        <family val="3"/>
        <charset val="204"/>
      </rPr>
      <t xml:space="preserve">
</t>
    </r>
    <r>
      <rPr>
        <sz val="10"/>
        <color rgb="FF0000FF"/>
        <rFont val="Consolas"/>
        <family val="3"/>
        <charset val="204"/>
      </rPr>
      <t>- не включает стоимость панели,шнуров, кронштейна</t>
    </r>
    <r>
      <rPr>
        <sz val="10"/>
        <color theme="1"/>
        <rFont val="Consolas"/>
        <family val="3"/>
        <charset val="204"/>
      </rPr>
      <t xml:space="preserve">
- включает стоимость крепежных и расходных элементов
- включает полное восстановление внешнего вида поверхностей после проведения работ
- включает все подключения, в т.ч. и к ЛВС,СКТВ
- включает проверку работоспособности и настройку панели</t>
    </r>
  </si>
  <si>
    <r>
      <t xml:space="preserve">Расценка на установку/подключение ТА
</t>
    </r>
    <r>
      <rPr>
        <sz val="10"/>
        <color rgb="FF0000FF"/>
        <rFont val="Consolas"/>
        <family val="3"/>
        <charset val="204"/>
      </rPr>
      <t>- не включает стоимость ТА и шнуров</t>
    </r>
    <r>
      <rPr>
        <sz val="10"/>
        <color theme="1"/>
        <rFont val="Consolas"/>
        <family val="3"/>
        <charset val="204"/>
      </rPr>
      <t xml:space="preserve">
- включает работы по подключению,в т.ч. и IP-телефона
- включает работы по настройке и демонстрации работоспособности аппарата
- включает передачу АРМ Заказчику БИС или Заказчику от Клиента с демонстрацией работоспособности по акту (при необходимости)</t>
    </r>
  </si>
  <si>
    <r>
      <t>Для УР № 3.2,3.2.1,3.2.2,3.2.3,3.2.4,</t>
    </r>
    <r>
      <rPr>
        <sz val="10"/>
        <color rgb="FFC00000"/>
        <rFont val="Consolas"/>
        <family val="3"/>
        <charset val="204"/>
      </rPr>
      <t>3.2.7</t>
    </r>
    <r>
      <rPr>
        <sz val="10"/>
        <color theme="1" tint="0.14999847407452621"/>
        <rFont val="Consolas"/>
        <family val="3"/>
        <charset val="204"/>
      </rPr>
      <t xml:space="preserve">
- внутриобъектовые работы включают стоимость всех применяемых материалов
- применяется только ля расчетов рапределительного кабеля. Распределительным считется ВОК между ОРШ и ДМ (ОРК)
- включает восстановление отделки поверхностей при внутриобъектовых работах
- включает восстановление благоустройства (асфальтобетонных покрытий,газонов)
- включает заказ и оплату топосъемок и согласований (при строительстве) в т.ч. и схемы выбора направлений трассы,заказ и оплату топосъемки исполнительной,оформление охранных зон линий связи,постановка на кадастровый учёт; сдача в надзорные органы
- включает оплату потрав посевов сельхозугодий, рекультивации земель, убытков землепользователям
- включает согласования с собственниками кадастровых участков и территорий
- включает получение ТУ и справки о выполнении ТУ от собственников инфраструктуры     
- монтаж ВОК подразумевает оконечивание кабеля с двух сторон
- бирки на кабель и наклейки на оконечные устройства
- протяженность трассы  - длина прокладываемого кабеля до оптического кросса/дроп-муфты/сплиттера/ОРК, ОРШ.
- длина кабеля берется физическая (оптическая длина разделить на коэф.укорочения из паспорта партии ВОК)
- переходы ГНБ или ГНП считаются отдельно по расценкам раздела 5, при этом закладываемый в них ВОК учитывается по УР 3.1.х
- исполнительная документация согласно требованиям МР (см. приложение к Договору)</t>
    </r>
  </si>
  <si>
    <r>
      <t xml:space="preserve">Расценка на АМС (антенно-мачтовые сооружения) высотой </t>
    </r>
    <r>
      <rPr>
        <sz val="10"/>
        <color rgb="FF0000FF"/>
        <rFont val="Consolas"/>
        <family val="3"/>
        <charset val="204"/>
      </rPr>
      <t>от 11 до 40 м</t>
    </r>
    <r>
      <rPr>
        <sz val="10"/>
        <rFont val="Consolas"/>
        <family val="3"/>
        <charset val="204"/>
      </rPr>
      <t xml:space="preserve">
- включает получение всех необходимых согласований для работ на площадке строительства, в т.ч. и с собствениками жилых помещений, владельцами зданий,территорий
- включает маркировку имиджевыми и идентификационными наклейками
</t>
    </r>
    <r>
      <rPr>
        <sz val="10"/>
        <color rgb="FF0000FF"/>
        <rFont val="Consolas"/>
        <family val="3"/>
        <charset val="204"/>
      </rPr>
      <t>- не включает прокладку ВОЛС,ВЭС,монтаж оборудования</t>
    </r>
    <r>
      <rPr>
        <sz val="10"/>
        <rFont val="Consolas"/>
        <family val="3"/>
        <charset val="204"/>
      </rPr>
      <t xml:space="preserve">
- включает оформление исполнительной документации по МР</t>
    </r>
  </si>
  <si>
    <r>
      <rPr>
        <sz val="10"/>
        <color rgb="FFFF0000"/>
        <rFont val="Consolas"/>
        <family val="3"/>
        <charset val="204"/>
      </rPr>
      <t xml:space="preserve">Для объектов, с количеством две и менее квартир на этаже, допускается производить работы по расценкам раздела 3.  </t>
    </r>
    <r>
      <rPr>
        <sz val="10"/>
        <color rgb="FF0000FF"/>
        <rFont val="Consolas"/>
        <family val="3"/>
        <charset val="204"/>
      </rPr>
      <t xml:space="preserve">
Не применяется совместно с Работами пунктов с  6.5÷ 6.15; 6.21÷ 6.24 </t>
    </r>
  </si>
  <si>
    <r>
      <t xml:space="preserve">в случае, если протяженность трассы кабельной линии менее 100 м, стоимость приравнивается к удельной стоимости = 100 м независимо от фактической длины. </t>
    </r>
    <r>
      <rPr>
        <sz val="10"/>
        <color rgb="FF0000FF"/>
        <rFont val="Consolas"/>
        <family val="3"/>
        <charset val="204"/>
      </rPr>
      <t xml:space="preserve">При комбинированном способе прокладки (грунт, подвес, в кабельной канализации), стоимость рассчитывается путем определения весовых долей каждого способа прокладки в (%) к длине 1 км и их сложения. 
РАСЦЕНКА ПРИМЕНЯЕТСЯ </t>
    </r>
    <r>
      <rPr>
        <sz val="10"/>
        <color rgb="FFFF0000"/>
        <rFont val="Consolas"/>
        <family val="3"/>
        <charset val="204"/>
      </rPr>
      <t>для отдельной внутриобъектовой прокладки.</t>
    </r>
  </si>
  <si>
    <r>
      <t xml:space="preserve">в случае, если протяженность трассы кабельной линии менее 100 м, стоимость приравнивается к удельной стоимости = 100 м независимо от фактической длины. </t>
    </r>
    <r>
      <rPr>
        <sz val="10"/>
        <color rgb="FF0000FF"/>
        <rFont val="Consolas"/>
        <family val="3"/>
        <charset val="204"/>
      </rPr>
      <t xml:space="preserve">При комбинированном способе прокладки (грунт, подвес, в кабельной канализации), стоимость рассчитывается путем определения весовых долей каждого способа прокладки в (%) к длине 1 км и их сложения. 
</t>
    </r>
    <r>
      <rPr>
        <sz val="10"/>
        <color rgb="FFFF0000"/>
        <rFont val="Consolas"/>
        <family val="3"/>
        <charset val="204"/>
      </rPr>
      <t xml:space="preserve">НЕ ПРИМЕНЯТЬ </t>
    </r>
    <r>
      <rPr>
        <sz val="10"/>
        <color rgb="FF0000FF"/>
        <rFont val="Consolas"/>
        <family val="3"/>
        <charset val="204"/>
      </rPr>
      <t xml:space="preserve"> отдельно для внутриобъектовой прокладки.</t>
    </r>
  </si>
  <si>
    <r>
      <t xml:space="preserve">в случае, если протяженность трассы кабельной линии менее 100 м, стоимость приравнивается к удельной стоимости = 100 м независимо от фактической длины. </t>
    </r>
    <r>
      <rPr>
        <sz val="10"/>
        <color rgb="FF0000FF"/>
        <rFont val="Consolas"/>
        <family val="3"/>
        <charset val="204"/>
      </rPr>
      <t xml:space="preserve">При комбинированном способе прокладки (грунт, подвес, в кабельной канализации), стоимость рассчитывается путем определения весовых долей каждого способа прокладки в (%) к длине 1 км и их сложения. 
</t>
    </r>
    <r>
      <rPr>
        <sz val="10"/>
        <color rgb="FFFF0000"/>
        <rFont val="Consolas"/>
        <family val="3"/>
        <charset val="204"/>
      </rPr>
      <t xml:space="preserve">НЕ ПРИМЕНЯТЬ  </t>
    </r>
    <r>
      <rPr>
        <sz val="10"/>
        <color rgb="FF0000FF"/>
        <rFont val="Consolas"/>
        <family val="3"/>
        <charset val="204"/>
      </rPr>
      <t>отдельно для внутриобъектовой прокладки.</t>
    </r>
  </si>
  <si>
    <r>
      <t>Расценка применяется, при необходимости, дополнительно к расценке 5.1.</t>
    </r>
    <r>
      <rPr>
        <sz val="10"/>
        <color rgb="FFFF0000"/>
        <rFont val="Consolas"/>
        <family val="3"/>
        <charset val="204"/>
      </rPr>
      <t xml:space="preserve"> Не применяется совместно с 5.0.1</t>
    </r>
  </si>
  <si>
    <r>
      <rPr>
        <sz val="10"/>
        <color rgb="FFFF0000"/>
        <rFont val="Consolas"/>
        <family val="3"/>
        <charset val="204"/>
      </rPr>
      <t>НЕ ПРИМЕНЯТЬ</t>
    </r>
    <r>
      <rPr>
        <sz val="10"/>
        <rFont val="Consolas"/>
        <family val="3"/>
        <charset val="204"/>
      </rPr>
      <t xml:space="preserve"> данную расценку для организации абонентской линии в ДХ абонента!</t>
    </r>
  </si>
  <si>
    <r>
      <t xml:space="preserve">СМР, ПИР, прочие, не ограничиваясь перечисленным  (крепежные материалы и изделия): Установка  Wi-Fi ТД, видеокамеры в кожух. Разметка и сверление отверстий. Установка/ замена кронштейна для монтажа, включая завинчивание винтов до проектного усилия. Крепление камеры видеонаблюдения к кронштейну, юстировка. Настройка оборудования. Подключение. Оформление разрешительных документов, исполнительной документации.
</t>
    </r>
    <r>
      <rPr>
        <sz val="10"/>
        <color rgb="FF0000FF"/>
        <rFont val="Consolas"/>
        <family val="3"/>
        <charset val="204"/>
      </rPr>
      <t xml:space="preserve">Без прокладки и стоимости кабеля. Без стоимости оборудования. </t>
    </r>
  </si>
  <si>
    <r>
      <t>СМР, ПИР, Прочие затраты, не ограничиваясь перечисленным  (крепежные материалы и изделия): Установка видеокамеры в кожух. Разметка и сверление отверстий. Установка кронштейна для монтажа камеры видеонаблюдения, включая завинчивание винтов до проектного усилия. Крепление камеры видеонаблюдения к кронштейну. Настройка изображения и фокуса. Подключение.</t>
    </r>
    <r>
      <rPr>
        <sz val="10"/>
        <color rgb="FFFF0000"/>
        <rFont val="Consolas"/>
        <family val="3"/>
        <charset val="204"/>
      </rPr>
      <t xml:space="preserve"> </t>
    </r>
    <r>
      <rPr>
        <sz val="10"/>
        <rFont val="Consolas"/>
        <family val="3"/>
        <charset val="204"/>
      </rPr>
      <t xml:space="preserve"> Оформление разрешительных документов, исполнительной документации.
</t>
    </r>
    <r>
      <rPr>
        <sz val="10"/>
        <color rgb="FF0000FF"/>
        <rFont val="Consolas"/>
        <family val="3"/>
        <charset val="204"/>
      </rPr>
      <t>Без прокладки и стоимости кабеля. Без стоимости оборудования.</t>
    </r>
  </si>
  <si>
    <t>Величина стоимости кабеля с учётом ТЗР носит справочный характер и используется для исключения из Удельной стоимости за единицу в случае принятия решения об использовании давальческого кабеля Заказчика</t>
  </si>
  <si>
    <t>Применяется в проектах по высвобождению Зданий/помещений (типа "МОСТ" и др.), при модернизации сущ. сетей БИС или сторонних Заказчиков</t>
  </si>
  <si>
    <t>Величина стоимости кабеля с учётом ТЗР носит справочный характер и используется для исключения из Удельной стоимости за единицу в случае принятия решения об использовании давальческого кабеля Заказчика.</t>
  </si>
  <si>
    <t>Расценки применяются при выполнении комплекса работ по СКС на одном объекте</t>
  </si>
  <si>
    <t>Может применяться с работами других разделов, при наличии обоснования для использования</t>
  </si>
  <si>
    <t xml:space="preserve">ПИР СКС </t>
  </si>
  <si>
    <t>Расценка на монтаж электрического счётчика (учёта электроэнергии)
- включает стоимость счетчика (класс точности не менее 1.0) и всех расходных и монтажных материалов)
- включает справки о выполнении ТУ от собственников инфраструктуры (при необходимости)
- вид,тип счётчика согласовать отдельно с Заказчиком с предоставлением образца до начала работ</t>
  </si>
  <si>
    <t xml:space="preserve">Стоимость воздушного ввода в здание отдельно не рассчитывается - учтена стоимостью прокладки кабеля (УР "Прокладка и монтаж ....  по существующим опорам (трубостойкам, между зданиями)).Для воздушных кабельных переходов и воздушных вводов в дома техническое решение, согласно </t>
  </si>
  <si>
    <t>СП 134.13330.2012 и ОСТН-600-93, должно представлять собой строительство кабельного ввода (высверлить отверстие, установить гильзу, кабель завести через гильзу; крепление кабеля установить на внешней стене дома) либо использовать существующий, специально запроектированный при строительстве дома</t>
  </si>
  <si>
    <t>ввод (крепление кабеля установить на внешней стене дома). Место для крепления кабеля на внешней стене выбирать на углах здания (с обеих сторон подвеса). Исключить установку крепежных элементов и подвес кабеля (над) под окнами жилых квартир.</t>
  </si>
  <si>
    <r>
      <rPr>
        <b/>
        <sz val="10"/>
        <color rgb="FF0000FF"/>
        <rFont val="Consolas"/>
        <family val="3"/>
        <charset val="204"/>
      </rPr>
      <t>Для УР 4.2.х</t>
    </r>
    <r>
      <rPr>
        <sz val="10"/>
        <color theme="1"/>
        <rFont val="Consolas"/>
        <family val="3"/>
        <charset val="204"/>
      </rPr>
      <t xml:space="preserve">
- внутриобъектовые работы включают стоимость всех применяемых материалов
- применяется только для расчетов магистрального кабеля.
- включает восстановление отделки поверхностей при внутриобъектовых работах
- бирки на кабель и наклейки на оконечные устройства
- включает установку доп. консолей (при необходимости) с их стоимостью
</t>
    </r>
    <r>
      <rPr>
        <b/>
        <sz val="10"/>
        <color rgb="FF0000FF"/>
        <rFont val="Consolas"/>
        <family val="3"/>
        <charset val="204"/>
      </rPr>
      <t>- не включает восстановление канализации</t>
    </r>
    <r>
      <rPr>
        <sz val="10"/>
        <color theme="1"/>
        <rFont val="Consolas"/>
        <family val="3"/>
        <charset val="204"/>
      </rPr>
      <t xml:space="preserve">
- длина кабеля берется оптическая
- строительство кабельного ввода (при необходимости) от сущ. колодца до объекта производится </t>
    </r>
    <r>
      <rPr>
        <b/>
        <sz val="10"/>
        <color rgb="FF0000FF"/>
        <rFont val="Consolas"/>
        <family val="3"/>
        <charset val="204"/>
      </rPr>
      <t>по расценкам  5.24÷5.25</t>
    </r>
    <r>
      <rPr>
        <sz val="10"/>
        <color theme="1"/>
        <rFont val="Consolas"/>
        <family val="3"/>
        <charset val="204"/>
      </rPr>
      <t>.Обычный ввод на стену или опору (в грунте до объекта, ввод через "гусак") включен в данную расценку
- исполнительная документация согласно требованиям МР (см. приложение к Договору)</t>
    </r>
  </si>
  <si>
    <r>
      <rPr>
        <b/>
        <sz val="10"/>
        <color rgb="FF0000FF"/>
        <rFont val="Consolas"/>
        <family val="3"/>
        <charset val="204"/>
      </rPr>
      <t>Для УР 4.3.х</t>
    </r>
    <r>
      <rPr>
        <sz val="10"/>
        <color theme="1"/>
        <rFont val="Consolas"/>
        <family val="3"/>
        <charset val="204"/>
      </rPr>
      <t xml:space="preserve">
- внутриобъектовые работы включают стоимость всех применяемых материалов
- применяется только для расчетов магистрального кабеля.
- включает восстановление отделки поверхностей при внутриобъектовых работах
- включает бирки на кабель и наклейки на оконечные устройства
- установка пикетных, информационных столбиков и плакатов
- включая работы по восстановлению дорожных и тротуарных покрытий и благоустройств
- включая потраву сельхозугодий (земель)
- включая справки о выполнении ТУ от собственников инфраструктуры;
- включая земельное дело, заказ и оплата топосъемок и согласований (при строительстве) в т.ч. и схемы выбора направлений трассы,заказ и оплата топосъемки исполнительной,оформление охранных зон линий связи,постановка на кадастровый учёт; сдача в надзорные органы
- строительство кабельного ввода (при необходимости) ,с установкой колодцев,проклдакой канала,производится </t>
    </r>
    <r>
      <rPr>
        <b/>
        <sz val="10"/>
        <color rgb="FF0000FF"/>
        <rFont val="Consolas"/>
        <family val="3"/>
        <charset val="204"/>
      </rPr>
      <t>по расценкам  5.24÷5.25</t>
    </r>
    <r>
      <rPr>
        <sz val="10"/>
        <color theme="1"/>
        <rFont val="Consolas"/>
        <family val="3"/>
        <charset val="204"/>
      </rPr>
      <t xml:space="preserve">.Обычный ввод на стену или опору (в грунте до объекта, ввод через "гусак") включен в данную расценку
- длина кабеля берется оптическая
</t>
    </r>
    <r>
      <rPr>
        <b/>
        <sz val="10"/>
        <color rgb="FF0000FF"/>
        <rFont val="Consolas"/>
        <family val="3"/>
        <charset val="204"/>
      </rPr>
      <t>- не включает ГНБ/ГНП. При необходимости выполнения ГНБ/ГНП согласовать предварительно с Заказчиком</t>
    </r>
    <r>
      <rPr>
        <sz val="10"/>
        <color theme="1"/>
        <rFont val="Consolas"/>
        <family val="3"/>
        <charset val="204"/>
      </rPr>
      <t xml:space="preserve">
- исполнительная документация согласно требованиям МР (см. приложение к Договору)</t>
    </r>
  </si>
  <si>
    <r>
      <rPr>
        <sz val="10"/>
        <color rgb="FF0000FF"/>
        <rFont val="Consolas"/>
        <family val="3"/>
        <charset val="204"/>
      </rPr>
      <t>Для УР 4.4.х</t>
    </r>
    <r>
      <rPr>
        <sz val="10"/>
        <color theme="1"/>
        <rFont val="Consolas"/>
        <family val="3"/>
        <charset val="204"/>
      </rPr>
      <t xml:space="preserve">
- внутриобъектовые работы включают стоимость всех применяемых материалов
- включает стоимость оснастки сущ. опор или трубостоек для подвеса/крепления кабеля
- применяется только для расчетов магистрального кабеля.
- включает восстановление отделки поверхностей при внутриобъектовых работах
- включает бирки на кабель и наклейки на оконечные устройства
- установка  плакатов
- выравнивание, установка оттяжек, перевязка существующих опор Заказчика и пр.
- подрезка крон деревьев
- включая справки о выполнении ТУ от собственников инфраструктуры;
- оформление охранных зон линий связи,сдача в надзорные органы
- длина кабеля берется оптическая
- исполнительная документация согласно требованиям МР (см. приложение к Договору)</t>
    </r>
  </si>
  <si>
    <r>
      <t xml:space="preserve">Расценки основные на строительство кабельной канализации
- в данные расценки входит 1 или 2 канала канализации
- Стоимость строительства кабельной канализации  из полиэтиленовых труб рассчитана для труб </t>
    </r>
    <r>
      <rPr>
        <sz val="10"/>
        <color rgb="FF0000FF"/>
        <rFont val="Consolas"/>
        <family val="3"/>
        <charset val="204"/>
      </rPr>
      <t>Д=110мм</t>
    </r>
    <r>
      <rPr>
        <sz val="10"/>
        <color rgb="FF000000"/>
        <rFont val="Consolas"/>
        <family val="3"/>
        <charset val="204"/>
      </rPr>
      <t xml:space="preserve">. В случае строительства кабельной канализации с применением труб </t>
    </r>
    <r>
      <rPr>
        <sz val="10"/>
        <color rgb="FF0000FF"/>
        <rFont val="Consolas"/>
        <family val="3"/>
        <charset val="204"/>
      </rPr>
      <t>Д=63мм</t>
    </r>
    <r>
      <rPr>
        <sz val="10"/>
        <color rgb="FF000000"/>
        <rFont val="Consolas"/>
        <family val="3"/>
        <charset val="204"/>
      </rPr>
      <t xml:space="preserve">  применять понижающий коэффициент к расценке </t>
    </r>
    <r>
      <rPr>
        <sz val="10"/>
        <color rgb="FF0000FF"/>
        <rFont val="Consolas"/>
        <family val="3"/>
        <charset val="204"/>
      </rPr>
      <t xml:space="preserve">к= 0,94 
</t>
    </r>
    <r>
      <rPr>
        <sz val="10"/>
        <color rgb="FF000000"/>
        <rFont val="Consolas"/>
        <family val="3"/>
        <charset val="204"/>
      </rPr>
      <t xml:space="preserve">- если нужно каналов =2, то применять расценку 5.1
- если нужно каналов &gt;2, то каждый следующий канал считается отдельно по расценке 5.2.
- стомость колодцев учтена данной расценкой, в том числе и угловых, разветвительных
- максимальная длина пролета в городских условиях </t>
    </r>
    <r>
      <rPr>
        <sz val="10"/>
        <color rgb="FF0000FF"/>
        <rFont val="Consolas"/>
        <family val="3"/>
        <charset val="204"/>
      </rPr>
      <t>не более 100 м или &gt; 100 м по желанию Заказчика</t>
    </r>
    <r>
      <rPr>
        <sz val="10"/>
        <color rgb="FF000000"/>
        <rFont val="Consolas"/>
        <family val="3"/>
        <charset val="204"/>
      </rPr>
      <t xml:space="preserve">
- переходные колодцы через а/дороги,трассы устанавливаются в обязательном порядке.
- включает стоимость оснастки кабельных колодцев из расчета (кронштейны и консоли из расчёта по 2 кронштейна на продольную стену с 1 консолью типа ККЧ-3 каждый)
- включает стоимость ж/б опорных колец,люков (тяжелых,нижняя крышка, верхняя крышка на шарнире,с запорным устройством) или иных, по согласованию с Заказчиком.Применение полимерных люков только в исключительных случаях , по согласованию с Закзчиком.
</t>
    </r>
    <r>
      <rPr>
        <sz val="10"/>
        <color rgb="FF0000FF"/>
        <rFont val="Consolas"/>
        <family val="3"/>
        <charset val="204"/>
      </rPr>
      <t>- благоустройство не входит</t>
    </r>
    <r>
      <rPr>
        <sz val="10"/>
        <color rgb="FF000000"/>
        <rFont val="Consolas"/>
        <family val="3"/>
        <charset val="204"/>
      </rPr>
      <t xml:space="preserve">
- включает Земельное дело, заказ и оплата топосъемки и согласований (при строительстве),заказ и оплата топосъемки исполнительной,оформление охранных зон линий связи, сдача в надзорные органы, постановка на кадастровый учет.
- включает оформление разрешительных документов, справки о выполнении ТУ от собственников инфраструктуры и исполнительной документации по МР. </t>
    </r>
  </si>
  <si>
    <r>
      <t xml:space="preserve">Применяется исключительно только на </t>
    </r>
    <r>
      <rPr>
        <sz val="10"/>
        <color rgb="FF0000FF"/>
        <rFont val="Consolas"/>
        <family val="3"/>
        <charset val="204"/>
      </rPr>
      <t>существующей</t>
    </r>
    <r>
      <rPr>
        <sz val="10"/>
        <color theme="1" tint="4.9989318521683403E-2"/>
        <rFont val="Consolas"/>
        <family val="3"/>
        <charset val="204"/>
      </rPr>
      <t xml:space="preserve"> канализации для полноценного восстановления каналов кабельной канализации с применением земляных работ.
</t>
    </r>
    <r>
      <rPr>
        <sz val="10"/>
        <color rgb="FF0000FF"/>
        <rFont val="Consolas"/>
        <family val="3"/>
        <charset val="204"/>
      </rPr>
      <t xml:space="preserve">- не применяется для случаев восстановления проходимости каналов без вскрытия грунта/поверхностей
</t>
    </r>
    <r>
      <rPr>
        <sz val="10"/>
        <color theme="1" tint="4.9989318521683403E-2"/>
        <rFont val="Consolas"/>
        <family val="3"/>
        <charset val="204"/>
      </rPr>
      <t xml:space="preserve">- под термином </t>
    </r>
    <r>
      <rPr>
        <sz val="10"/>
        <color rgb="FF0000FF"/>
        <rFont val="Consolas"/>
        <family val="3"/>
        <charset val="204"/>
      </rPr>
      <t>"полноценное восстановление каналов кабельной канализации"</t>
    </r>
    <r>
      <rPr>
        <sz val="10"/>
        <color theme="1" tint="4.9989318521683403E-2"/>
        <rFont val="Consolas"/>
        <family val="3"/>
        <charset val="204"/>
      </rPr>
      <t xml:space="preserve"> имееется ввиду </t>
    </r>
    <r>
      <rPr>
        <sz val="10"/>
        <color rgb="FF0000FF"/>
        <rFont val="Consolas"/>
        <family val="3"/>
        <charset val="204"/>
      </rPr>
      <t xml:space="preserve">100 % </t>
    </r>
    <r>
      <rPr>
        <sz val="10"/>
        <color theme="1" tint="4.9989318521683403E-2"/>
        <rFont val="Consolas"/>
        <family val="3"/>
        <charset val="204"/>
      </rPr>
      <t xml:space="preserve">восстановление проходимости кабельного канала/ов в пролёте, до состояния нового/новых,с заменой поврежденных фрагментов труб на новые ,с заделкой стыков согласно технологии производства работ и т.д.,с устройством защиты мест стыковок,включая дополнительные бандажи и пр.
- по отдельному Заказу от Заказчика с предварительным согласованием работ
- стоимость колодцев не входит.Если нужно перебивать колодцы, применяется расценка 5.14 (для любых типоразмеров колодцев)
- все согласования, земляные работы,изыскания и съёмки входят в данную расценку,включая сдачу объекта в надзорные органы
</t>
    </r>
    <r>
      <rPr>
        <sz val="10"/>
        <color rgb="FF0000FF"/>
        <rFont val="Consolas"/>
        <family val="3"/>
        <charset val="204"/>
      </rPr>
      <t>- благоустройство не входит в данную расценку</t>
    </r>
  </si>
  <si>
    <t>Выполнение работ для подключения клиентов сегментов B2C/B2B/B2G/B2O для нужд ПАО «Башинформсвязь» в 2021-2022 гг.</t>
  </si>
  <si>
    <t>Комментарии и дополнения к расценкам. 
Выполнение работ для подключения клиентов сегментов B2C/B2B/B2G/B2O для нужд ПАО «Башинформсвязь» в 2021-2022 гг</t>
  </si>
  <si>
    <t xml:space="preserve">В УР на прокладку кабелей с примечанием вида "В случае, если общая протяженность трассы ВОК менее 100 м, стоимость приравнивается к удельной стоимости участка = 100 м. независимо от фактической длины" данное условие применяется, если  только общая длина трассы кабеля на объекте имеет </t>
  </si>
  <si>
    <r>
      <t xml:space="preserve">ПИР, СМР, Прочие затраты, включая: стоимость оптического кабеля (с учётом технологических, монтажных запасов кабеля), установку муфт и кроссов со сваркой волокон, (включая стоимость оптических муфт и кроссов, стоек и кабельростов), откачку воды из телефонных колодцев (ТК), очистку ТК, проверку проходимости кабельной канализации, промывку кабельной канализации, герметизацию каналов, бирки; </t>
    </r>
    <r>
      <rPr>
        <sz val="10"/>
        <color theme="1" tint="0.14999847407452621"/>
        <rFont val="Consolas"/>
        <family val="3"/>
        <charset val="204"/>
      </rPr>
      <t>устройство вывода на стену/опору, вывод на стену/опору; прокладку по стене; устройство ввода, в</t>
    </r>
    <r>
      <rPr>
        <sz val="10"/>
        <color theme="1"/>
        <rFont val="Consolas"/>
        <family val="3"/>
        <charset val="204"/>
      </rPr>
      <t xml:space="preserve">вод кабеля в здание по существующему каналу, внутриобъектовые работы, монтаж кабельростов протяженностью до 15 м. включительно, стоек, оптических кроссов, оконечивание кабеля,  проведение  всех измерений ВОК, включая входной контроль кабеля, монтаж сплиттеров, дроп муфт, ОРК, ОРШ (включая стоимость сплиттеров, дроп муфт, ОРК, ОРШ),  с оформлением разрешительных документов, в том числе согласование с УК и ТСЖ, исполнительной документации.
</t>
    </r>
    <r>
      <rPr>
        <sz val="10"/>
        <color rgb="FF0000FF"/>
        <rFont val="Consolas"/>
        <family val="3"/>
        <charset val="204"/>
      </rPr>
      <t>Протяженность трассы  - длина прокладываемого кабеля до оптического кросса, с учетом нормативных технологических запасов.</t>
    </r>
  </si>
  <si>
    <r>
      <t xml:space="preserve">ПИР, СМР, Прочие затраты в составе:  разработка траншеи, прокладка опознавательной ленты, прокладка кабеля, монтаж  муфт и кроссов со сваркой волокон, </t>
    </r>
    <r>
      <rPr>
        <sz val="10"/>
        <color rgb="FF0000FF"/>
        <rFont val="Consolas"/>
        <family val="3"/>
        <charset val="204"/>
      </rPr>
      <t>монтаж смотровых камер</t>
    </r>
    <r>
      <rPr>
        <sz val="10"/>
        <color theme="1"/>
        <rFont val="Consolas"/>
        <family val="3"/>
        <charset val="204"/>
      </rPr>
      <t>, (включая стоимость оптического кабеля и муфт, кроссов, стоек и кабельростов,</t>
    </r>
    <r>
      <rPr>
        <sz val="10"/>
        <color rgb="FF0000FF"/>
        <rFont val="Consolas"/>
        <family val="3"/>
        <charset val="204"/>
      </rPr>
      <t xml:space="preserve"> смотровых камер)</t>
    </r>
    <r>
      <rPr>
        <sz val="10"/>
        <color theme="1"/>
        <rFont val="Consolas"/>
        <family val="3"/>
        <charset val="204"/>
      </rPr>
      <t xml:space="preserve">, защита кабеля в опасных местах не требующих применения ГНБ (места перехода через дороги, пересечение с инженерными сетями, внутри объекта и т.д.), установка пикетных столбиков; устройство вывода на стену/опору, вывод кабеля на стену/опору; прокладка по стене и существующей инфраструктуре; устройство ввода, ввод кабеля в здание по существующему каналу, внутриобъектовые работы, монтаж кабельростов протяженностью до 15 м. включительно, стоек, оптических кроссов ,  оконечивание кабеля с обеих сторон, включая работы по восстановлению  асфальтобетонных покрытий проезжей части, тротуаров и работ по благоустройству, проведение  всех измерений ВОК, включая входной контроль кабеля, монтаж сплиттеров, ОРК, ОРШ (включая стоимость сплиттеров, дроп муфт, ОРК, ОРШ), оформление разрешительных документов, в том числе согласование с УК и ТСЖ, исполнительной документации и оформление охранных зон линий связи. </t>
    </r>
    <r>
      <rPr>
        <sz val="10"/>
        <color rgb="FF0000FF"/>
        <rFont val="Consolas"/>
        <family val="3"/>
        <charset val="204"/>
      </rPr>
      <t>Протяженность трассы  - длина прокладываемого кабеля до оптического кросса, с учетом нормативных технологических запасов.</t>
    </r>
  </si>
  <si>
    <r>
      <t xml:space="preserve">ПИР, СМР, Прочие затраты, включая: установку муфт и кроссов, (включая стоимость оптического кабеля и муфт, кроссов, стоек и кабельростов),защиту кабеля в опасных местах (места перехода через дороги, пересечение с инженерными сетями, пересечение/параллельный пробег с ЛЭП,  и т. д.); организация воздушно-кабельных переходов, прокладка по стене и существующей инфраструктуре, ввод кабеля в здание с пробивкой и заделкой отверстий при необходимости, внутриобъектовые работы, монтаж кабельростов протяженностью до 15 м. включительно, стоек, оптических кроссов, оконечивание кабеля с обеих сторон, проведение всех  измерений ВОК, монтаж сплиттеров, дроп муфт, ОРК, ОРШ (включая стоимость сплиттеров, ОРК, ОРШ), оформление разрешительных документов, в том числе согласование с УК и ТСЖ, исполнительной документации.  
</t>
    </r>
    <r>
      <rPr>
        <sz val="10"/>
        <color rgb="FF0000FF"/>
        <rFont val="Consolas"/>
        <family val="3"/>
        <charset val="204"/>
      </rPr>
      <t>Протяженность трассы  - длина прокладываемого кабеля до оптического кросса, с учетом нормативных технологических запасов.</t>
    </r>
  </si>
  <si>
    <r>
      <t xml:space="preserve">в случае, если протяженность трассы кабельной линии менее 150 м, стоимость приравнивается к удельной стоимости = 150 м независимо от фактической длины. </t>
    </r>
    <r>
      <rPr>
        <sz val="10"/>
        <color rgb="FF0000FF"/>
        <rFont val="Consolas"/>
        <family val="3"/>
        <charset val="204"/>
      </rPr>
      <t xml:space="preserve">При комбинированном способе прокладки (грунт, подвес, в кабельной канализации), стоимость рассчитывается путем определения весовых долей каждого способа прокладки в (%) к длине 1 км и их сложения. 
</t>
    </r>
    <r>
      <rPr>
        <sz val="10"/>
        <color rgb="FFFF0000"/>
        <rFont val="Consolas"/>
        <family val="3"/>
        <charset val="204"/>
      </rPr>
      <t xml:space="preserve">НЕ ПРИМЕНЯТЬ  отдельно для внутриобъектовой прокладки.
</t>
    </r>
    <r>
      <rPr>
        <sz val="10"/>
        <color rgb="FF0000FF"/>
        <rFont val="Consolas"/>
        <family val="3"/>
        <charset val="204"/>
      </rPr>
      <t>Отдельная прокладка внутриобъектового ВОК производится по расценкам 6.8.2</t>
    </r>
  </si>
  <si>
    <t xml:space="preserve">Универсальные расценки для прокладки магистральных ВОЛС в каб. канализации для любых проектов (В2С,В2В,В2G и пр.)
В общем случае магистральными будут считаться ВОК от УА,точки врезки или др.
ВОК между УД в сетях FTTх в разных зданиях также является магистральным. ВОК между УД в пределах одного здания является "перекидным" и учтён стоимостью "портов"   </t>
  </si>
  <si>
    <r>
      <t>ПИР,СМР, с учётом стоимости кабеля и всех материалов для наружных и внутренних работ, (с учётом  т</t>
    </r>
    <r>
      <rPr>
        <sz val="10"/>
        <color theme="1" tint="0.14999847407452621"/>
        <rFont val="Consolas"/>
        <family val="3"/>
        <charset val="204"/>
      </rPr>
      <t xml:space="preserve">ехнологических, монтажных запасов кабеля), в том числе сопутствующие и подготовительные работы и не ограничиваясь перечисленным: очистка, промывка, подготовка каналов канализации,  установка консолей в колодцах  (при необходимости);  монтаж/перемонтаж муфт со сваркой волокон (включая стоимость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xml:space="preserve">); герметизация каналов; маркировка (бирки);  вывод кабеля из канализации на стену/опору; ввод кабеля в здание по существующему каналу с пробивкой и заделкой герметизации; ввод кабеля в здание выше фундаментного основания с пробивкой и заделкой технологических отверстий; </t>
    </r>
    <r>
      <rPr>
        <sz val="10"/>
        <color theme="1"/>
        <rFont val="Consolas"/>
        <family val="3"/>
        <charset val="204"/>
      </rPr>
      <t xml:space="preserve">внутриобъектовые работы: прокладка и монтаж кабеля по стене или по конструкциям с их установкой и стоимостью (кабельросты, трубы, короба, кабель-каналы и проч. протяженностью до 15 м. включительно); защита кабеля в опасных местах; монтаж оптических кроссов (включая стоимость)/сплиттеров (включая стоимость), с креплением и оконечиванием кабеля. Проведение  всех измерений ВОК, включая входной контроль кабеля. Оформление разрешительных документов и исполнительной документации.
</t>
    </r>
    <r>
      <rPr>
        <sz val="10"/>
        <color rgb="FF0000FF"/>
        <rFont val="Consolas"/>
        <family val="3"/>
        <charset val="204"/>
      </rPr>
      <t xml:space="preserve">Протяженность трассы  - длина прокладываемого кабеля до оптического кросса, с учетом нормативных технологических запасов. </t>
    </r>
    <r>
      <rPr>
        <b/>
        <sz val="10"/>
        <color rgb="FF0000FF"/>
        <rFont val="Consolas"/>
        <family val="3"/>
        <charset val="204"/>
      </rPr>
      <t xml:space="preserve"> Устройство кабельного ввода в здание в фундаментном основании от существующего колодца; Устройство кабельного вывода на стену/опору от существующего колодца, производится по расценкам  5.24÷5.25.</t>
    </r>
  </si>
  <si>
    <r>
      <t>ПИР,СМР, с учётом стоимости кабеля и всех материалов для наружных и внутренних работ, (с учётом  т</t>
    </r>
    <r>
      <rPr>
        <sz val="10"/>
        <color theme="1" tint="0.14999847407452621"/>
        <rFont val="Consolas"/>
        <family val="3"/>
        <charset val="204"/>
      </rPr>
      <t xml:space="preserve">ехнологических, монтажных запасов кабеля), в том числе сопутствующие и подготовительные работы и не ограничиваясь перечисленным: очистка, промывка, подготовка каналов канализации,  установка консолей в колодцах  (при необходимости);  монтаж/перемонтаж муфт со сваркой волокон (включая стоимость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xml:space="preserve">); герметизация каналов; маркировка (бирки);  вывод кабеля из канализации на стену/опору; ввод кабеля в здание по существующему каналу с пробивкой и заделкой герметизации; ввод кабеля в здание выше фундаментного основания с пробивкой и заделкой технологических отверстий; </t>
    </r>
    <r>
      <rPr>
        <sz val="10"/>
        <color theme="1"/>
        <rFont val="Consolas"/>
        <family val="3"/>
        <charset val="204"/>
      </rPr>
      <t xml:space="preserve">внутриобъектовые работы: прокладка и монтаж кабеля по стене или по конструкциям с их установкой и стоимостью (кабельросты, трубы, короба, кабель-каналы и проч. протяженностью до 15 м. включительно); защита кабеля в опасных местах; монтаж оптических кроссов (включая стоимость)/сплиттеров (включая стоимость), с креплением и оконечиванием кабеля. Проведение  всех измерений ВОК, включая входной контроль кабеля. Оформление разрешительных документов и исполнительной документации.
</t>
    </r>
    <r>
      <rPr>
        <sz val="10"/>
        <color rgb="FF0000FF"/>
        <rFont val="Consolas"/>
        <family val="3"/>
        <charset val="204"/>
      </rPr>
      <t xml:space="preserve">Протяженность трассы  - длина прокладываемого кабеля до оптического кросса, с учетом нормативных технологических запасов.  </t>
    </r>
    <r>
      <rPr>
        <b/>
        <sz val="10"/>
        <color rgb="FF0000FF"/>
        <rFont val="Consolas"/>
        <family val="3"/>
        <charset val="204"/>
      </rPr>
      <t xml:space="preserve"> Устройство кабельного ввода в здание в фундаментном основании от существующего колодца; Устройство кабельного вывода на стену/опору от существующего колодца, производится по расценкам  5.24÷5.25.</t>
    </r>
  </si>
  <si>
    <r>
      <t xml:space="preserve">ПИР, СМР, с учётом стоимости кабеля и материалов для наружных и внутренних работ, в том числе и не ограничиваясь перечисленным: Разработка траншеи; прокладка опознавательной ленты; прокладка кабеля; защита кабеля в опасных местах не требующих применения ГНБ (места перехода через дороги, пересечение с инженерными сетями, внутри объекта и т.д.),  при необходимости </t>
    </r>
    <r>
      <rPr>
        <sz val="10"/>
        <color rgb="FF0000FF"/>
        <rFont val="Consolas"/>
        <family val="3"/>
        <charset val="204"/>
      </rPr>
      <t>монтаж смотровых камер</t>
    </r>
    <r>
      <rPr>
        <sz val="10"/>
        <color theme="1"/>
        <rFont val="Consolas"/>
        <family val="3"/>
        <charset val="204"/>
      </rPr>
      <t xml:space="preserve">, </t>
    </r>
    <r>
      <rPr>
        <sz val="10"/>
        <color theme="1" tint="0.14999847407452621"/>
        <rFont val="Consolas"/>
        <family val="3"/>
        <charset val="204"/>
      </rPr>
      <t xml:space="preserve">монтаж/ перемонтаж  муфт со сваркой волокон (включая стоимость смотровых камер,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установка пикетных столбиков;  вывод кабеля на стену, устройство вывода и вывод кабеля на опору</t>
    </r>
    <r>
      <rPr>
        <sz val="10"/>
        <color theme="1"/>
        <rFont val="Consolas"/>
        <family val="3"/>
        <charset val="204"/>
      </rPr>
      <t>,  прокладка по стене/опоре в трубе с учётом её стоимости (длина трубы определяется проектом);  ввод кабеля в здание по существующему каналу с пробивкой и заделкой герметизации;</t>
    </r>
    <r>
      <rPr>
        <sz val="10"/>
        <color theme="1" tint="0.14999847407452621"/>
        <rFont val="Consolas"/>
        <family val="3"/>
        <charset val="204"/>
      </rPr>
      <t xml:space="preserve"> ввод кабеля в здание выше фундаментного основания с пробивкой и заделкой технологических отверстий; работы по восстановлению нарушенных покрытий, рекультивации земель,  благоустройству. Внутриобъектовые работы: прокладка и монтаж кабеля по стене или по конструкциям с их установкой </t>
    </r>
    <r>
      <rPr>
        <sz val="10"/>
        <color theme="1"/>
        <rFont val="Consolas"/>
        <family val="3"/>
        <charset val="204"/>
      </rPr>
      <t xml:space="preserve">и стоимостью (кабельросты, трубы, короба, кабель-каналы и проч. протяженностью до 15 м. включительно), монтаж оптических кроссов (включая стоимость)/сплиттеров (включая стоимость), с креплением и оконечиванием кабеля. Проведение  всех измерений ВОК, включая входной контроль кабеля. Топографо-геодезические работы, оформление разрешительных документов и исполнительной документации,  оформление охранных зон линий связи.
</t>
    </r>
    <r>
      <rPr>
        <sz val="10"/>
        <color rgb="FF0000FF"/>
        <rFont val="Consolas"/>
        <family val="3"/>
        <charset val="204"/>
      </rPr>
      <t xml:space="preserve">Протяженность трассы  - длина прокладываемого кабеля до оптического кросса, с учетом нормативных технологических запасов. </t>
    </r>
    <r>
      <rPr>
        <b/>
        <sz val="10"/>
        <color rgb="FF0000FF"/>
        <rFont val="Consolas"/>
        <family val="3"/>
        <charset val="204"/>
      </rPr>
      <t>Устройство кабельного вывода на стену, производится по расценке 5.26.</t>
    </r>
  </si>
  <si>
    <r>
      <t xml:space="preserve">в случае, если протяженность трассы кабельной линии менее 150 м, стоимость приравнивается к удельной стоимости = 150 м независимо от фактической длины. </t>
    </r>
    <r>
      <rPr>
        <sz val="10"/>
        <color rgb="FF0000FF"/>
        <rFont val="Consolas"/>
        <family val="3"/>
        <charset val="204"/>
      </rPr>
      <t xml:space="preserve">При комбинированном способе прокладки (грунт, подвес, в кабельной канализации), стоимость рассчитывается путем определения весовых долей каждого способа прокладки в (%) к длине 1 км и их сложения. 
</t>
    </r>
    <r>
      <rPr>
        <sz val="10"/>
        <color rgb="FFFF0000"/>
        <rFont val="Consolas"/>
        <family val="3"/>
        <charset val="204"/>
      </rPr>
      <t xml:space="preserve">НЕ ПРИМЕНЯТЬ </t>
    </r>
    <r>
      <rPr>
        <sz val="10"/>
        <color rgb="FF0000FF"/>
        <rFont val="Consolas"/>
        <family val="3"/>
        <charset val="204"/>
      </rPr>
      <t xml:space="preserve"> отдельно для внутриобъектовой прокладки.</t>
    </r>
    <r>
      <rPr>
        <sz val="10"/>
        <color theme="1"/>
        <rFont val="Consolas"/>
        <family val="3"/>
        <charset val="204"/>
      </rPr>
      <t xml:space="preserve">
</t>
    </r>
    <r>
      <rPr>
        <sz val="10"/>
        <color rgb="FF0000FF"/>
        <rFont val="Consolas"/>
        <family val="3"/>
        <charset val="204"/>
      </rPr>
      <t>Отдельная прокладка внутриобъектового ВОК производится по расценкам 6.8.2</t>
    </r>
  </si>
  <si>
    <r>
      <t>ПИР, СМР, с учётом стоимост</t>
    </r>
    <r>
      <rPr>
        <sz val="10"/>
        <color theme="1" tint="0.14999847407452621"/>
        <rFont val="Consolas"/>
        <family val="3"/>
        <charset val="204"/>
      </rPr>
      <t xml:space="preserve">и кабеля и всех материалов для наружных и внутренних работ, в том числе и не ограничиваясь перечисленным: монтаж/перемонтаж муфт, (включая стоимость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защиту кабеля в опасных местах (места перехода через дороги, пересечение с инженерными сетями, пересечение</t>
    </r>
    <r>
      <rPr>
        <sz val="10"/>
        <color theme="1"/>
        <rFont val="Consolas"/>
        <family val="3"/>
        <charset val="204"/>
      </rPr>
      <t xml:space="preserve">/параллельный пробег с ЛЭП,  и т. д.); организация воздушно-кабельных переходов; вывод кабеля на стену; прокладка по стене в трубе с учётом её стоимости (длина трубы определяется проектом); ввод кабеля в здание с пробивкой и заделкой технологических отверстий при необходимости; внутриобъектовые работы: монтаж кабельростов, кабель-каналов, всех видов труб (протяженностью до 15 м. включительно); оптических кроссов  (включая стоимость)/сплиттеров (включая стоимость),  с креплением и оконечиванием кабеля. Проведение  всех измерений ВОК, включая входной контроль кабеля. Оформление разрешительных документов и исполнительной документации.
</t>
    </r>
    <r>
      <rPr>
        <sz val="10"/>
        <color rgb="FF0000FF"/>
        <rFont val="Consolas"/>
        <family val="3"/>
        <charset val="204"/>
      </rPr>
      <t>Протяженность трассы  - длина прокладываемого кабеля до оптического кросса, с учетом нормативных технологических запасов.</t>
    </r>
  </si>
  <si>
    <r>
      <t xml:space="preserve">в случае, если протяженность трассы кабельной линии менее 100 м, стоимость приравнивается к удельной стоимости = 100 м независимо от фактической длины. </t>
    </r>
    <r>
      <rPr>
        <sz val="10"/>
        <color rgb="FF0000FF"/>
        <rFont val="Consolas"/>
        <family val="3"/>
        <charset val="204"/>
      </rPr>
      <t xml:space="preserve">При комбинированном способе прокладки (грунт, подвес, в кабельной канализации), стоимость рассчитывается путем определения весовых долей каждого способа прокладки в (%) к длине 1 км и их сложения. 
</t>
    </r>
    <r>
      <rPr>
        <sz val="10"/>
        <color rgb="FFFF0000"/>
        <rFont val="Consolas"/>
        <family val="3"/>
        <charset val="204"/>
      </rPr>
      <t xml:space="preserve">НЕ ПРИМЕНЯТЬ </t>
    </r>
    <r>
      <rPr>
        <sz val="10"/>
        <color rgb="FF0000FF"/>
        <rFont val="Consolas"/>
        <family val="3"/>
        <charset val="204"/>
      </rPr>
      <t xml:space="preserve"> отдельно для внутриобъектовой прокладки.Отдельная прокладка внутриобъектового ВОК производится по расценкам 6.8.2</t>
    </r>
  </si>
  <si>
    <t>Применимо совместно с 6.8.2</t>
  </si>
  <si>
    <r>
      <t xml:space="preserve">Применяется  на существующих кабельных линиях, при  монтаже новой муфты, организации врезки, отводов.  Применимо совместно с расценками пп. 4.2.÷ 4.4, при монтаже более 1 оптической муфты на 0,5 км строящейся трассы,совместно с 6.8.2 </t>
    </r>
    <r>
      <rPr>
        <sz val="10"/>
        <color rgb="FFFF0000"/>
        <rFont val="Consolas"/>
        <family val="3"/>
        <charset val="204"/>
      </rPr>
      <t xml:space="preserve">
НЕ ПРИМЕНЯТЬ </t>
    </r>
    <r>
      <rPr>
        <sz val="10"/>
        <color rgb="FF0000FF"/>
        <rFont val="Consolas"/>
        <family val="3"/>
        <charset val="204"/>
      </rPr>
      <t>с разделом №3.</t>
    </r>
  </si>
  <si>
    <r>
      <t>ПИР, СМР,  с учётом стоимости кабеля и всех материалов для наружных и внутренних работ, (с учетом  технологических, монтажных запасов кабеля), в том числе сопутствующие и подготовительные работы и не о</t>
    </r>
    <r>
      <rPr>
        <sz val="10"/>
        <color theme="1" tint="0.14999847407452621"/>
        <rFont val="Consolas"/>
        <family val="3"/>
        <charset val="204"/>
      </rPr>
      <t xml:space="preserve">граничиваясь перечисленным: очистка, промывка, подготовка каналов канализации, установка консолей в колодцах  (при необходимости). Монтаж/перемонтаж муфт (включая стоимость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герметизация каналов; маркировка (бирки); вывод кабеля на стену/опору; прокладку по стене/опоре в трубе с учетом ее стоимости (длина трубы определяется проектом); ввод кабеля в здание по существующему каналу с пробивкой и заделкой герметизации; ввод кабеля в здание выше фундаментного основания с пробивкой и заделкой технологических отверстий</t>
    </r>
    <r>
      <rPr>
        <sz val="10"/>
        <color theme="1"/>
        <rFont val="Consolas"/>
        <family val="3"/>
        <charset val="204"/>
      </rPr>
      <t xml:space="preserve">; защита кабеля в опасных местах, монтаж кабельростов (протяженностью до 15 м. включительно), кроссов и стоек с их стоимостью для крепления кроссов; оконечивание кабеля с обеих сторон. Проведение  всех измерений , включая входной контроль кабеля. Оформление разрешительных документов и исполнительной документации. Протяженность трассы  - длина прокладываемого кабеля до кросса, с учетом нормативных технологических запасов. 
</t>
    </r>
    <r>
      <rPr>
        <sz val="10"/>
        <color rgb="FF0000FF"/>
        <rFont val="Consolas"/>
        <family val="3"/>
        <charset val="204"/>
      </rPr>
      <t>Устройство кабельного ввода в здание в фундаментном основании от существующего колодца; Устройство кабельного вывода на стену/опору от существующего колодца, производится по расценкам  5.24÷5.25.</t>
    </r>
  </si>
  <si>
    <r>
      <t>ПИР,СМР,  включая землеустроительное дело, топосъёмку, согласования. СМР, с учётом стоимости кабеля и материалов для наружных и внутренних работ, в том числе и не ограничиваясь перечисленным:  разработка траншеи; прокладка кабеля, защита кабеля в опасных местах не требующих применения ГНБ  в соответствии с проектом (места перехода через дороги, перес</t>
    </r>
    <r>
      <rPr>
        <sz val="10"/>
        <color theme="1" tint="0.14999847407452621"/>
        <rFont val="Consolas"/>
        <family val="3"/>
        <charset val="204"/>
      </rPr>
      <t xml:space="preserve">ечение с инженерными сетями, внутри объекта и т.д.); монтаж/перемонтаж  муфт  (включая стоимость муфт, </t>
    </r>
    <r>
      <rPr>
        <b/>
        <sz val="10"/>
        <color theme="1" tint="0.14999847407452621"/>
        <rFont val="Consolas"/>
        <family val="3"/>
        <charset val="204"/>
      </rPr>
      <t>из расчета одна вновь монтируемая муфта на 0,5 км. трассы</t>
    </r>
    <r>
      <rPr>
        <sz val="10"/>
        <color theme="1" tint="0.14999847407452621"/>
        <rFont val="Consolas"/>
        <family val="3"/>
        <charset val="204"/>
      </rPr>
      <t>); установка пикетных столбиков; вывод кабеля на стену, устройство вывода и вывод кабеля на опору</t>
    </r>
    <r>
      <rPr>
        <sz val="10"/>
        <color theme="1"/>
        <rFont val="Consolas"/>
        <family val="3"/>
        <charset val="204"/>
      </rPr>
      <t xml:space="preserve">,  прокладка по стене/опоре в трубе с учётом её стоимости (длина трубы определяется проектом);  ввод кабеля в здание по существующему каналу с пробивкой и заделкой герметизации; </t>
    </r>
    <r>
      <rPr>
        <sz val="10"/>
        <color theme="1" tint="0.14999847407452621"/>
        <rFont val="Consolas"/>
        <family val="3"/>
        <charset val="204"/>
      </rPr>
      <t>ввод кабеля в здание выше фундаментного основания с пробивкой и заделкой технологических отверстий; работы по восстановлению нарушенных покрытий, рекультивации земель,  благоустройству. Внутриобъектовые р</t>
    </r>
    <r>
      <rPr>
        <sz val="10"/>
        <color theme="1"/>
        <rFont val="Consolas"/>
        <family val="3"/>
        <charset val="204"/>
      </rPr>
      <t xml:space="preserve">аботы: монтаж кабельростов  (протяженностью до 15 м. включительно), кроссов и стоек для  крепления кроссов; оконечивание кабеля с обеих сторон. Проведение  всех измерений , включая входной контроль кабеля. Топографо-геодезические работы, оформление разрешительных документов и исполнительной документации,  оформление охранных зон линий связи.
</t>
    </r>
    <r>
      <rPr>
        <sz val="10"/>
        <color rgb="FF0000FF"/>
        <rFont val="Consolas"/>
        <family val="3"/>
        <charset val="204"/>
      </rPr>
      <t xml:space="preserve">Протяженность трассы  - длина прокладываемого кабеля до кросса, с учетом нормативных технологических запасов.  </t>
    </r>
    <r>
      <rPr>
        <b/>
        <sz val="10"/>
        <color rgb="FF0000FF"/>
        <rFont val="Consolas"/>
        <family val="3"/>
        <charset val="204"/>
      </rPr>
      <t>Устройство кабельного вывода на стену, производится по расценке 5.26.</t>
    </r>
  </si>
  <si>
    <r>
      <t>ПИР, СМР, с учётом стоимости кабеля и материалов, не ограничиваясь перечисленным: установка/перемонтаж муфт, (включая стоимость муфт,</t>
    </r>
    <r>
      <rPr>
        <sz val="10"/>
        <color theme="1" tint="0.14999847407452621"/>
        <rFont val="Consolas"/>
        <family val="3"/>
        <charset val="204"/>
      </rPr>
      <t xml:space="preserve">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t>
    </r>
    <r>
      <rPr>
        <sz val="10"/>
        <color theme="1"/>
        <rFont val="Consolas"/>
        <family val="3"/>
        <charset val="204"/>
      </rPr>
      <t xml:space="preserve"> установка/перемонтаж ЯКГ, (включая стоимость ЯКГ), устройство молниеотвода/заземления опоры связи (включая стоимость молниеотвода/заземления), установка/перемонтаж кабельной площадки, (включая стоимость кабельной площадки), защиту кабеля в опасных местах (места перехода через дороги, пересечение с инженерными сетями, пересечение/параллельный пробег с ЛЭП,  и т. д.); организация воздушно-кабельных переходов; вывод кабеля на стену; прокладка по стене; ввод кабеля в здание с пробивкой и заделкой технологических отверстий при необходимости. Внутриобъектовые работы: монтаж кабельростов  (протяженностью до 15 м. включительно), кроссов и стоек для их крепления; оконечивание кабеля с обеих сторон. Проведение  всех измерений , включая входной контроль кабеля. Оформление разрешительных документов и исполнительной документации.
</t>
    </r>
    <r>
      <rPr>
        <sz val="10"/>
        <color rgb="FF0000FF"/>
        <rFont val="Consolas"/>
        <family val="3"/>
        <charset val="204"/>
      </rPr>
      <t xml:space="preserve">Протяженность трассы  - длина прокладываемого кабеля до кросса, с учетом нормативных технологических запасов. </t>
    </r>
  </si>
  <si>
    <r>
      <t>ПИР, СМР,  с учётом стоимости кабеля и всех материалов для наружных и внутренних работ, (с учетом  технологических, монтажных запасов кабеля), в том числе сопутствующие и подготовительные работы и не о</t>
    </r>
    <r>
      <rPr>
        <sz val="10"/>
        <color theme="1" tint="0.14999847407452621"/>
        <rFont val="Consolas"/>
        <family val="3"/>
        <charset val="204"/>
      </rPr>
      <t xml:space="preserve">граничиваясь перечисленным: очистка, промывка, подготовка каналов канализации, установка консолей в колодцах  (при необходимости). Монтаж/перемонтаж муфт (включая стоимость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герметизация каналов; маркировка (бирки); вывод кабеля на стену/опору; прокладку по стене/опоре в трубе с учетом ее стоимости (длина трубы определяется проектом); ввод кабеля в здание по существующему каналу с пробивкой и заделкой герметизации; ввод кабеля в здание выше фундаментного основания с пробивкой и заделкой технологических отверстий</t>
    </r>
    <r>
      <rPr>
        <sz val="10"/>
        <color theme="1"/>
        <rFont val="Consolas"/>
        <family val="3"/>
        <charset val="204"/>
      </rPr>
      <t xml:space="preserve">; защита кабеля в опасных местах, монтаж кабельростов (протяженностью до 15 м. включительно), кроссов и стоек с их стоимостью для крепления кроссов; оконечивание кабеля с обеих сторон. Проведение  всех измерений , включая входной контроль кабеля. Оформление разрешительных документов и исполнительной документации. Протяженность трассы  - длина прокладываемого кабеля до кросса, с учетом нормативных технологических запасов. 
</t>
    </r>
    <r>
      <rPr>
        <b/>
        <sz val="10"/>
        <color rgb="FF0000FF"/>
        <rFont val="Consolas"/>
        <family val="3"/>
        <charset val="204"/>
      </rPr>
      <t>Устройство кабельного ввода в здание в фундаментном основании от существующего колодца; Устройство кабельного вывода на стену/опору от существующего колодца, производится по расценкам  5.24÷5.25.</t>
    </r>
  </si>
  <si>
    <r>
      <t>ПИР,СМР,  включая землеустроительное дело, топосъёмку, согласования. СМР, с учётом стоимости кабеля и материалов для наружных и внутренних работ, в том числе и не ограничиваясь перечисленным:  разработка траншеи; прокладка кабеля, защита кабеля в опасных местах не требующих применения ГНБ  в соответствии с проектом (места перехода через дороги, перес</t>
    </r>
    <r>
      <rPr>
        <sz val="10"/>
        <color theme="1" tint="0.14999847407452621"/>
        <rFont val="Consolas"/>
        <family val="3"/>
        <charset val="204"/>
      </rPr>
      <t xml:space="preserve">ечение с инженерными сетями, внутри объекта и т.д.); монтаж/перемонтаж  муфт  (включая стоимость муфт, </t>
    </r>
    <r>
      <rPr>
        <b/>
        <sz val="10"/>
        <color theme="1" tint="0.14999847407452621"/>
        <rFont val="Consolas"/>
        <family val="3"/>
        <charset val="204"/>
      </rPr>
      <t>из расчета 1 вновь монтируемая муфта на 0,5 км. трассы</t>
    </r>
    <r>
      <rPr>
        <sz val="10"/>
        <color theme="1" tint="0.14999847407452621"/>
        <rFont val="Consolas"/>
        <family val="3"/>
        <charset val="204"/>
      </rPr>
      <t>); установка пикетных столбиков; вывод кабеля на стену, устройство вывода и вывод кабеля на опору</t>
    </r>
    <r>
      <rPr>
        <sz val="10"/>
        <color theme="1"/>
        <rFont val="Consolas"/>
        <family val="3"/>
        <charset val="204"/>
      </rPr>
      <t xml:space="preserve">,  прокладка по стене/опоре в трубе с учётом её стоимости (длина трубы определяется проектом);  ввод кабеля в здание по существующему каналу с пробивкой и заделкой герметизации; </t>
    </r>
    <r>
      <rPr>
        <sz val="10"/>
        <color theme="1" tint="0.14999847407452621"/>
        <rFont val="Consolas"/>
        <family val="3"/>
        <charset val="204"/>
      </rPr>
      <t>ввод кабеля в здание выше фундаментного основания с пробивкой и заделкой технологических отверстий; работы по восстановлению нарушенных покрытий, рекультивации земель,  благоустройству. Внутриобъектовые р</t>
    </r>
    <r>
      <rPr>
        <sz val="10"/>
        <color theme="1"/>
        <rFont val="Consolas"/>
        <family val="3"/>
        <charset val="204"/>
      </rPr>
      <t xml:space="preserve">аботы: монтаж кабельростов  (протяженностью до 15 м. включительно), кроссов и стоек для  крепления кроссов; оконечивание кабеля с обеих сторон. Проведение  всех измерений , включая входной контроль кабеля. Топографо-геодезические работы, оформление разрешительных документов и исполнительной документации,  оформление охранных зон линий связи.
</t>
    </r>
    <r>
      <rPr>
        <sz val="10"/>
        <color rgb="FF0000FF"/>
        <rFont val="Consolas"/>
        <family val="3"/>
        <charset val="204"/>
      </rPr>
      <t xml:space="preserve">Протяженность трассы  - длина прокладываемого кабеля до кросса, с учетом нормативных технологических запасов.  </t>
    </r>
    <r>
      <rPr>
        <b/>
        <sz val="10"/>
        <color rgb="FF0000FF"/>
        <rFont val="Consolas"/>
        <family val="3"/>
        <charset val="204"/>
      </rPr>
      <t>Устройство кабельного вывода на стену, производится по расценке 5.26.</t>
    </r>
  </si>
  <si>
    <t>6.8.1.1</t>
  </si>
  <si>
    <t>6.8.1.2</t>
  </si>
  <si>
    <t>6.8.1.3</t>
  </si>
  <si>
    <t>6.8.1.4</t>
  </si>
  <si>
    <t>6.8.1.5</t>
  </si>
  <si>
    <t>6.8.2.1</t>
  </si>
  <si>
    <t>6.8.2.2</t>
  </si>
  <si>
    <t>6.8.2.3</t>
  </si>
  <si>
    <t>6.8.2.4</t>
  </si>
  <si>
    <t>6.8.2.5</t>
  </si>
  <si>
    <t>ВОК до 4 волокон включительно</t>
  </si>
  <si>
    <t>ВОК от 4 до 8 волокон включительно</t>
  </si>
  <si>
    <t>ВОК от 8 до 16 волокон включительно</t>
  </si>
  <si>
    <t>ВОК от 24 до 48 волокон включительно</t>
  </si>
  <si>
    <t xml:space="preserve">Прокладка внутриобъектового ВОК </t>
  </si>
  <si>
    <r>
      <t xml:space="preserve">ПИР, СМР,  с учетом  стоимости кабеля и материалов, стоек, кабельканалов, кроссов; установки муфт со сваркой волокон (включая стоимость ВОК, муфт); прокладки по стене; устройство отверстий в стенах, защиту кабеля в опасных местах, внутриобъектовые работ; монтажа кабельканалов, кроссов и стоек для их крепления; оконечивания кабеля;  проведение  всех измерений ВОК, включая входной контроль кабеля. Оформлением разрешительных документов и исполнительной документации. 
</t>
    </r>
    <r>
      <rPr>
        <b/>
        <sz val="10"/>
        <color rgb="FF0000FF"/>
        <rFont val="Consolas"/>
        <family val="3"/>
        <charset val="204"/>
      </rPr>
      <t xml:space="preserve">Не включает стоимость ОРК. </t>
    </r>
  </si>
  <si>
    <r>
      <t xml:space="preserve">ПИР, СМР, с учетом стоимости: кабеля, материалов для маркировки и крепления, устройств отверстий в стенах с установкой гильз, защиты кабеля в опасных местах, оконечивания кабеля в предустановленных распределительных муфтах и кроссовых устройствах (включая расходные материалы).  Проведение  всех измерений ВОК. Включая входной контроль кабеля. Оформлением разрешительных документов, согласование трассы прокладки, графика проведения работ, подготовка исполнительной документации.
</t>
    </r>
    <r>
      <rPr>
        <sz val="10"/>
        <color rgb="FF0000FF"/>
        <rFont val="Consolas"/>
        <family val="3"/>
        <charset val="204"/>
      </rPr>
      <t>Не включает стоимость вновь устанавливаемых распределительных муфт и кроссовых устройств, организацию дополнительной инфраструктуры (кабельные лотки/каналы/кабельные стояки/трубостойки).</t>
    </r>
  </si>
  <si>
    <t>Применимо совместно с 4.5 - 4.6</t>
  </si>
  <si>
    <r>
      <t xml:space="preserve">
Расценки на прокладку ВОК внутри объектов в любых проектах
</t>
    </r>
    <r>
      <rPr>
        <b/>
        <sz val="10"/>
        <color rgb="FF0000FF"/>
        <rFont val="Consolas"/>
        <family val="3"/>
        <charset val="204"/>
      </rPr>
      <t>Именно эти расценки использовать,когда требуется проложить ВОК только внутри объекта (для любых проектов)</t>
    </r>
    <r>
      <rPr>
        <sz val="10"/>
        <color theme="1" tint="4.9989318521683403E-2"/>
        <rFont val="Consolas"/>
        <family val="3"/>
        <charset val="204"/>
      </rPr>
      <t xml:space="preserve">
- включает восстановление отделки поверхностей; прокладку и монтаж кабеля по трубостойкам и др. конструкциям
- включает бирки и наклейки, разварку кабелей с двух сторон (на кроссы/сплиттеры или муфты)
- включает исполнительную документацию по МР.</t>
    </r>
  </si>
  <si>
    <r>
      <t xml:space="preserve">Расценка на монтаж патч-панели </t>
    </r>
    <r>
      <rPr>
        <sz val="10"/>
        <color rgb="FF0000FF"/>
        <rFont val="Consolas"/>
        <family val="3"/>
        <charset val="204"/>
      </rPr>
      <t>12 или 24 порта</t>
    </r>
    <r>
      <rPr>
        <sz val="10"/>
        <color theme="1" tint="4.9989318521683403E-2"/>
        <rFont val="Consolas"/>
        <family val="3"/>
        <charset val="204"/>
      </rPr>
      <t xml:space="preserve">,коммутационных коробок и разветвителей интерфейсов
</t>
    </r>
    <r>
      <rPr>
        <sz val="10"/>
        <color rgb="FF0000FF"/>
        <rFont val="Consolas"/>
        <family val="3"/>
        <charset val="204"/>
      </rPr>
      <t xml:space="preserve">- не применимо совместно с расценками всех разделов ,в которых уже учтена концевая заделка на патч-панель МПК/медных кабелей в составе ДРС или отдельно
- не применяется для концевой заделки вновь прокладываемых кабелей
</t>
    </r>
    <r>
      <rPr>
        <sz val="10"/>
        <color theme="1" tint="4.9989318521683403E-2"/>
        <rFont val="Consolas"/>
        <family val="3"/>
        <charset val="204"/>
      </rPr>
      <t>- применяется для концевой заделки существующих кабелей или замены концевой заделки с заменой оконечного устройства (патч-панели) по отдельному заказу Заказчика</t>
    </r>
  </si>
  <si>
    <t>ПИР, СМР (включая стоимость основных материалов, вспомогательных, сопутствующих работ). Установка, монтаж и расшивка патч-панели 12  портов , коммутационной коробки (JB-730) / разветвителя интерфейса RS.</t>
  </si>
  <si>
    <r>
      <t xml:space="preserve">Установка, монтаж и расшивка патч-панели </t>
    </r>
    <r>
      <rPr>
        <sz val="10"/>
        <color rgb="FF0000FF"/>
        <rFont val="Consolas"/>
        <family val="3"/>
        <charset val="204"/>
      </rPr>
      <t>12 портов</t>
    </r>
    <r>
      <rPr>
        <sz val="10"/>
        <color theme="1"/>
        <rFont val="Consolas"/>
        <family val="3"/>
        <charset val="204"/>
      </rPr>
      <t>, коммутационной коробки (JB-730) / разветвителя интерфейса RS</t>
    </r>
  </si>
  <si>
    <t>Установка доводчика / электромеханического замка калитка/ворота</t>
  </si>
  <si>
    <r>
      <t xml:space="preserve">СМР, ПИР, прочие, не  ограничиваясь перечисленным (включая стоимость крепежных материалов, электросварочных/газосварочных работ по устройству площадки крепления и трасс прокладки линий связи и электропитания на существующих конструкциях): Установка и монтаж доводчика или электромеханического замка. Оформление исполнительной документации. </t>
    </r>
    <r>
      <rPr>
        <sz val="10"/>
        <color rgb="FF0000FF"/>
        <rFont val="Consolas"/>
        <family val="3"/>
        <charset val="204"/>
      </rPr>
      <t xml:space="preserve">Не включает стоимость доводчика или электромеханического замка. </t>
    </r>
  </si>
  <si>
    <r>
      <t xml:space="preserve">Расценка на монтаж доводчика/эл.мех.замка на </t>
    </r>
    <r>
      <rPr>
        <sz val="10"/>
        <color rgb="FF0000FF"/>
        <rFont val="Consolas"/>
        <family val="3"/>
        <charset val="204"/>
      </rPr>
      <t>калитку/ворота</t>
    </r>
    <r>
      <rPr>
        <sz val="10"/>
        <color theme="1"/>
        <rFont val="Consolas"/>
        <family val="3"/>
        <charset val="204"/>
      </rPr>
      <t xml:space="preserve">
- включает все работы по установке,креплению доводчика на калитку/ворота
- включает восстановление отделки/покраски поверхностей после установки
</t>
    </r>
    <r>
      <rPr>
        <sz val="10"/>
        <color rgb="FF0000FF"/>
        <rFont val="Consolas"/>
        <family val="3"/>
        <charset val="204"/>
      </rPr>
      <t>- не включает стоимость доводчика/эл.мех.замка</t>
    </r>
    <r>
      <rPr>
        <sz val="10"/>
        <color theme="1"/>
        <rFont val="Consolas"/>
        <family val="3"/>
        <charset val="204"/>
      </rPr>
      <t xml:space="preserve">
- включает оформление исполнительной документации по МР</t>
    </r>
  </si>
  <si>
    <t xml:space="preserve">ПНР на систему домофонии </t>
  </si>
  <si>
    <t xml:space="preserve">Включая и не ограничиваясь, ПНР на вызывную панель и сопутствующие элементы системы, обновление программного обеспечения, выполнение первичных настроек в соответствии с инструкциями и требованиями Заказчика работ.  </t>
  </si>
  <si>
    <t>Расценка на ПНР на систему домофонии/СКУД на Объекте
- включает работы на панели, ККМ, абон. устройстве консьержа, внесение данных в квартирограмму
- включает работы по настройке сетевых параметров оборудования Заказчика
- включает все работы по пуско-наладке установленной домофонной панели,включая подключенные к ней считыватели,кнопоки,контроллеры,блоков сопряжения,коммутационных устройств и пр.
- включает работы (ПНР) по коммутации домофоной панели/замка с охранной и/или пожарной сигнализацией на Объекте , в т.ч. и построенной сторонними организациями
- включает работы по демонстрации работы по указанию Заказчика, в т.ч. и заинтересованным сторонам (Застройщик,УК,ТСЖ и т.д.)</t>
  </si>
  <si>
    <t>Вертикальный участок для организации распределительной сети домофонии, организуется по расценке п. 6.1 -6.3 
Отдельная установка коммутационной коробки/ разветвителя интерфейса RS выполняется по расценке 6.33</t>
  </si>
  <si>
    <t>4.1.12</t>
  </si>
  <si>
    <t>Разработка проекта сохранения объекта культурного наследия, согласование работ с КГИОП</t>
  </si>
  <si>
    <t>Разработка проекта сохранения объекта культурного наследия, согласование и получение разрешения на проведение работ (в том числе в охранной зоне) с КГИОП (Комитет по государственному контролю, использованию и охране памятников истории и культуры),  последующее сопровождение выполнения строительно-монтажных работ.</t>
  </si>
  <si>
    <t>4.1.13</t>
  </si>
  <si>
    <t>Охранно-археологические изыскания/исследования</t>
  </si>
  <si>
    <t xml:space="preserve">Археологические изыскания/исследования, включая и не ограничиваясь: Получение разрешения (открытого листа) на право проведения археологических полевых работ необходимого вида в необходимых пределах;  Археологические разведки; Археологические раскопки (при необходимости); Археологические наблюдения (при необходимости); Камеральная обработка (при необходимости); Подготовка научного и технического отчетов; Сдача научно-технического отчета в Институт археологии РАН и снятие замечаний. 
</t>
  </si>
  <si>
    <t>Стоимость определяется по согласованию работ с Заказчиком и предоставлением подтверждающих документов</t>
  </si>
  <si>
    <r>
      <t xml:space="preserve">Расценки на доумощнение (модернизацию) </t>
    </r>
    <r>
      <rPr>
        <b/>
        <sz val="10"/>
        <color rgb="FFFF0000"/>
        <rFont val="Consolas"/>
        <family val="3"/>
        <charset val="204"/>
      </rPr>
      <t xml:space="preserve">ДРС GPON </t>
    </r>
    <r>
      <rPr>
        <sz val="10"/>
        <color theme="1" tint="4.9989318521683403E-2"/>
        <rFont val="Consolas"/>
        <family val="3"/>
        <charset val="204"/>
      </rPr>
      <t xml:space="preserve">
- включая строительство горизонтальных участков трубостоек между подъездами (при необходимости, определяемой проектными решениями)
- включает восстановление отделки поверхностей; прокладку и монтаж кабеля по трубостойкам
- включает бирки и наклейки, разварку кабелей с двух сторон (на кроссы/сплиттеры или муфты)
- включает монтаж проходных коробок под распределительные муфты (при необходимости)
- включает исполнительную документацию по МР.</t>
    </r>
  </si>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</sst>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 _₽_-;\-* #,##0\ _₽_-;_-* &quot;-&quot;\ _₽_-;_-@_-"/>
    <numFmt numFmtId="43" formatCode="_-* #,##0.00\ _₽_-;\-* #,##0.00\ _₽_-;_-* &quot;-&quot;??\ _₽_-;_-@_-"/>
    <numFmt numFmtId="164" formatCode="_-* #,##0_-;\-* #,##0_-;_-* &quot;-&quot;_-;_-@_-"/>
    <numFmt numFmtId="165" formatCode="_-* #,##0.00_-;\-* #,##0.00_-;_-* &quot;-&quot;??_-;_-@_-"/>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00\ 00"/>
    <numFmt numFmtId="171" formatCode="_(* #,##0_);_(* \(#,##0\);_(* &quot;-&quot;??_);_(@_)"/>
    <numFmt numFmtId="172" formatCode="_(&quot;$&quot;* #,##0_);_(&quot;$&quot;* \(#,##0\);_(&quot;$&quot;* &quot;-&quot;_);_(@_)"/>
    <numFmt numFmtId="173" formatCode="_(&quot;$&quot;* #,##0.00_);_(&quot;$&quot;* \(#,##0.00\);_(&quot;$&quot;* &quot;-&quot;??_);_(@_)"/>
    <numFmt numFmtId="174" formatCode="###\ ##\ ##"/>
    <numFmt numFmtId="175" formatCode="0_);\(0\)"/>
    <numFmt numFmtId="176" formatCode="_ &quot;$&quot;* #,##0.00_ ;_ &quot;$&quot;* \-#,##0.00_ ;_ &quot;$&quot;* &quot;-&quot;??_ ;_ @_ "/>
    <numFmt numFmtId="177" formatCode="d/m/yy"/>
    <numFmt numFmtId="178" formatCode="&quot;OS&quot;\ &quot;#&quot;\,&quot;#&quot;&quot;#&quot;0.00;[Red]\-&quot;OS&quot;\ &quot;#&quot;\,&quot;#&quot;&quot;#&quot;0.00"/>
    <numFmt numFmtId="179" formatCode="_ &quot;$&quot;* #,##0_ ;_ &quot;$&quot;* \-#,##0_ ;_ &quot;$&quot;* &quot;-&quot;_ ;_ @_ "/>
    <numFmt numFmtId="180" formatCode="#,##0;[Red]&quot;-&quot;#,##0"/>
    <numFmt numFmtId="181" formatCode="0.00_)"/>
    <numFmt numFmtId="182" formatCode="#,##0\ &quot;DM&quot;;\-#,##0\ &quot;DM&quot;"/>
    <numFmt numFmtId="183" formatCode="0.0000000000"/>
    <numFmt numFmtId="184" formatCode="_ * #,##0.00_ ;_ * \-#,##0.00_ ;_ * &quot;-&quot;??_ ;_ @_ "/>
    <numFmt numFmtId="185" formatCode="#,##0.00\ &quot;DM&quot;;\-#,##0.00\ &quot;DM&quot;"/>
    <numFmt numFmtId="186" formatCode="_ * #,##0_ ;_ * \-#,##0_ ;_ * &quot;-&quot;_ ;_ @_ "/>
    <numFmt numFmtId="187" formatCode="_(* #,##0.000_);_(* \(#,##0.000\);_(* &quot;-&quot;???_);_(@_)"/>
    <numFmt numFmtId="188" formatCode="&quot;$&quot;#,##0"/>
    <numFmt numFmtId="189" formatCode="_-* #,##0\ _k_r_-;\-* #,##0\ _k_r_-;_-* &quot;-&quot;\ _k_r_-;_-@_-"/>
    <numFmt numFmtId="190" formatCode="_-* #,##0.00\ _k_r_-;\-* #,##0.00\ _k_r_-;_-* &quot;-&quot;??\ _k_r_-;_-@_-"/>
    <numFmt numFmtId="191" formatCode="[$$-409]#,##0"/>
    <numFmt numFmtId="192" formatCode="_-* #,##0\ &quot;kr&quot;_-;\-* #,##0\ &quot;kr&quot;_-;_-* &quot;-&quot;\ &quot;kr&quot;_-;_-@_-"/>
    <numFmt numFmtId="193" formatCode="_-* #,##0.00\ &quot;kr&quot;_-;\-* #,##0.00\ &quot;kr&quot;_-;_-* &quot;-&quot;??\ &quot;kr&quot;_-;_-@_-"/>
    <numFmt numFmtId="194" formatCode="_-&quot;Ј&quot;* #,##0_-;\-&quot;Ј&quot;* #,##0_-;_-&quot;Ј&quot;* &quot;-&quot;_-;_-@_-"/>
    <numFmt numFmtId="195" formatCode="_-&quot;Ј&quot;* #,##0.00_-;\-&quot;Ј&quot;* #,##0.00_-;_-&quot;Ј&quot;* &quot;-&quot;??_-;_-@_-"/>
    <numFmt numFmtId="196" formatCode="#\ ##0_.\ &quot;zі&quot;\ 00\ &quot;gr&quot;;\(#\ ##0.00\z\і\)"/>
    <numFmt numFmtId="197" formatCode="_(* #,##0.00_);_(* \(#,##0.00\);_(* &quot;-&quot;??_);_(@_)"/>
    <numFmt numFmtId="198" formatCode="_-* #,##0.00_р_-;\-* #,##0.00_р_-;_-* &quot;-&quot;??_р_-;_-@_-"/>
    <numFmt numFmtId="199" formatCode="_(* #,##0_);_(* \(#,##0\);_(* &quot;-&quot;_);_(@_)"/>
    <numFmt numFmtId="200" formatCode="#,##0.0000"/>
  </numFmts>
  <fonts count="128">
    <font>
      <sz val="11"/>
      <color theme="1"/>
      <name val="Calibri"/>
      <family val="2"/>
      <charset val="204"/>
      <scheme val="minor"/>
    </font>
    <font>
      <sz val="11"/>
      <color theme="1"/>
      <name val="Calibri"/>
      <family val="2"/>
      <charset val="204"/>
      <scheme val="minor"/>
    </font>
    <font>
      <sz val="10"/>
      <name val="Arial Cyr"/>
      <charset val="204"/>
    </font>
    <font>
      <b/>
      <sz val="14"/>
      <name val="Times New Roman"/>
      <family val="1"/>
      <charset val="204"/>
    </font>
    <font>
      <sz val="11"/>
      <name val="Times New Roman"/>
      <family val="1"/>
      <charset val="204"/>
    </font>
    <font>
      <sz val="10"/>
      <name val="Times New Roman"/>
      <family val="1"/>
      <charset val="204"/>
    </font>
    <font>
      <b/>
      <sz val="10"/>
      <name val="Times New Roman"/>
      <family val="1"/>
      <charset val="204"/>
    </font>
    <font>
      <sz val="11"/>
      <color theme="1"/>
      <name val="Calibri"/>
      <family val="2"/>
      <scheme val="minor"/>
    </font>
    <font>
      <b/>
      <sz val="10"/>
      <name val="Arial Cyr"/>
      <family val="2"/>
      <charset val="204"/>
    </font>
    <font>
      <sz val="10"/>
      <name val="Arial"/>
      <family val="2"/>
      <charset val="204"/>
    </font>
    <font>
      <sz val="10"/>
      <name val="Helv"/>
    </font>
    <font>
      <sz val="10"/>
      <name val="Helv"/>
      <charset val="204"/>
    </font>
    <font>
      <sz val="12"/>
      <name val="Times New Roman"/>
      <family val="1"/>
    </font>
    <font>
      <b/>
      <i/>
      <sz val="10"/>
      <name val="Arial Cyr"/>
      <family val="2"/>
      <charset val="204"/>
    </font>
    <font>
      <sz val="10"/>
      <name val="Courier"/>
      <family val="3"/>
    </font>
    <font>
      <sz val="11"/>
      <color indexed="8"/>
      <name val="Calibri"/>
      <family val="2"/>
      <charset val="204"/>
    </font>
    <font>
      <b/>
      <i/>
      <sz val="16"/>
      <name val="Times New Roman Cyr"/>
      <family val="1"/>
      <charset val="204"/>
    </font>
    <font>
      <b/>
      <i/>
      <sz val="10"/>
      <color indexed="9"/>
      <name val="Arial"/>
      <family val="2"/>
      <charset val="204"/>
    </font>
    <font>
      <sz val="10"/>
      <name val="Arial Cyr"/>
      <family val="2"/>
      <charset val="204"/>
    </font>
    <font>
      <b/>
      <i/>
      <u val="double"/>
      <sz val="14"/>
      <name val="Times New Roman Cyr"/>
      <family val="1"/>
      <charset val="204"/>
    </font>
    <font>
      <sz val="11"/>
      <color indexed="9"/>
      <name val="Calibri"/>
      <family val="2"/>
      <charset val="204"/>
    </font>
    <font>
      <sz val="10"/>
      <color indexed="12"/>
      <name val="Arial"/>
      <family val="2"/>
      <charset val="204"/>
    </font>
    <font>
      <sz val="11"/>
      <name val="Arial"/>
      <family val="2"/>
      <charset val="204"/>
    </font>
    <font>
      <u/>
      <sz val="10"/>
      <color indexed="12"/>
      <name val="Arial Cyr"/>
      <charset val="204"/>
    </font>
    <font>
      <b/>
      <sz val="10"/>
      <name val="Arial"/>
      <family val="2"/>
    </font>
    <font>
      <sz val="11"/>
      <color indexed="16"/>
      <name val="Calibri"/>
      <family val="2"/>
      <charset val="204"/>
    </font>
    <font>
      <b/>
      <sz val="10"/>
      <name val="Arial"/>
      <family val="2"/>
      <charset val="204"/>
    </font>
    <font>
      <b/>
      <sz val="11"/>
      <color indexed="9"/>
      <name val="Calibri"/>
      <family val="2"/>
      <charset val="204"/>
    </font>
    <font>
      <sz val="10"/>
      <color indexed="8"/>
      <name val="Arial"/>
      <family val="2"/>
      <charset val="204"/>
    </font>
    <font>
      <b/>
      <sz val="11"/>
      <color indexed="8"/>
      <name val="Calibri"/>
      <family val="2"/>
      <charset val="204"/>
    </font>
    <font>
      <b/>
      <sz val="8"/>
      <name val="Times New Roman"/>
      <family val="1"/>
      <charset val="204"/>
    </font>
    <font>
      <sz val="10"/>
      <color indexed="9"/>
      <name val="Arial"/>
      <family val="2"/>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9.75"/>
      <name val="Arial"/>
      <family val="2"/>
      <charset val="204"/>
    </font>
    <font>
      <b/>
      <sz val="18"/>
      <name val="Times New Roman"/>
      <family val="1"/>
      <charset val="204"/>
    </font>
    <font>
      <sz val="14"/>
      <name val="Times New Roman"/>
      <family val="1"/>
      <charset val="204"/>
    </font>
    <font>
      <b/>
      <sz val="9.75"/>
      <name val="Arial"/>
      <family val="2"/>
    </font>
    <font>
      <u/>
      <sz val="10"/>
      <color indexed="4"/>
      <name val="Tahoma"/>
      <family val="2"/>
      <charset val="204"/>
    </font>
    <font>
      <sz val="11"/>
      <color indexed="62"/>
      <name val="Calibri"/>
      <family val="2"/>
      <charset val="204"/>
    </font>
    <font>
      <sz val="8"/>
      <name val="Arial"/>
      <family val="2"/>
      <charset val="204"/>
    </font>
    <font>
      <b/>
      <sz val="8"/>
      <name val="Arial Narrow"/>
      <family val="2"/>
    </font>
    <font>
      <sz val="10"/>
      <name val="MS Sans Serif"/>
      <family val="2"/>
      <charset val="204"/>
    </font>
    <font>
      <b/>
      <sz val="10"/>
      <color indexed="12"/>
      <name val="Arial Cyr"/>
      <family val="2"/>
      <charset val="204"/>
    </font>
    <font>
      <sz val="8"/>
      <color indexed="9"/>
      <name val="MS Sans Serif"/>
      <family val="2"/>
      <charset val="204"/>
    </font>
    <font>
      <sz val="11"/>
      <color indexed="53"/>
      <name val="Calibri"/>
      <family val="2"/>
      <charset val="204"/>
    </font>
    <font>
      <sz val="11"/>
      <color indexed="60"/>
      <name val="Calibri"/>
      <family val="2"/>
      <charset val="204"/>
    </font>
    <font>
      <b/>
      <i/>
      <sz val="16"/>
      <name val="Helv"/>
      <charset val="204"/>
    </font>
    <font>
      <sz val="9"/>
      <name val="Times New Roman Cyr"/>
      <family val="1"/>
      <charset val="204"/>
    </font>
    <font>
      <i/>
      <sz val="10"/>
      <name val="Times New Roman"/>
      <family val="1"/>
      <charset val="204"/>
    </font>
    <font>
      <b/>
      <sz val="11"/>
      <color indexed="63"/>
      <name val="Calibri"/>
      <family val="2"/>
      <charset val="204"/>
    </font>
    <font>
      <b/>
      <sz val="14"/>
      <name val="Arial"/>
      <family val="2"/>
    </font>
    <font>
      <b/>
      <i/>
      <sz val="10"/>
      <name val="Arial"/>
      <family val="2"/>
      <charset val="204"/>
    </font>
    <font>
      <u/>
      <sz val="10"/>
      <color indexed="4"/>
      <name val="Arial"/>
      <family val="2"/>
      <charset val="204"/>
    </font>
    <font>
      <sz val="10"/>
      <color indexed="8"/>
      <name val="Times New Roman"/>
      <family val="1"/>
      <charset val="204"/>
    </font>
    <font>
      <b/>
      <sz val="18"/>
      <color indexed="62"/>
      <name val="Cambria"/>
      <family val="2"/>
      <charset val="204"/>
    </font>
    <font>
      <sz val="10"/>
      <name val="NTHelvetica/Cyrillic"/>
      <charset val="204"/>
    </font>
    <font>
      <b/>
      <i/>
      <sz val="10"/>
      <name val="Times New Roman"/>
      <family val="1"/>
    </font>
    <font>
      <b/>
      <sz val="11"/>
      <color indexed="63"/>
      <name val="Arial"/>
      <family val="2"/>
    </font>
    <font>
      <b/>
      <sz val="10"/>
      <name val="Times New Roman"/>
      <family val="1"/>
    </font>
    <font>
      <sz val="11"/>
      <color indexed="10"/>
      <name val="Calibri"/>
      <family val="2"/>
      <charset val="204"/>
    </font>
    <font>
      <sz val="10"/>
      <name val="Arial"/>
      <family val="2"/>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9"/>
      <name val="Arial"/>
      <family val="2"/>
    </font>
    <font>
      <b/>
      <sz val="11"/>
      <name val="Arial"/>
      <family val="2"/>
    </font>
    <font>
      <b/>
      <i/>
      <u/>
      <sz val="11"/>
      <name val="Arial Cyr"/>
      <family val="2"/>
      <charset val="204"/>
    </font>
    <font>
      <b/>
      <sz val="18"/>
      <color indexed="56"/>
      <name val="Cambria"/>
      <family val="2"/>
      <charset val="204"/>
    </font>
    <font>
      <sz val="10"/>
      <color theme="1"/>
      <name val="Arial"/>
      <family val="2"/>
      <charset val="204"/>
    </font>
    <font>
      <sz val="12"/>
      <name val="Times New Roman"/>
      <family val="1"/>
      <charset val="204"/>
    </font>
    <font>
      <sz val="11"/>
      <color indexed="20"/>
      <name val="Calibri"/>
      <family val="2"/>
      <charset val="204"/>
    </font>
    <font>
      <i/>
      <sz val="11"/>
      <color indexed="23"/>
      <name val="Calibri"/>
      <family val="2"/>
      <charset val="204"/>
    </font>
    <font>
      <b/>
      <sz val="11"/>
      <name val="Arial Cyr"/>
      <family val="2"/>
      <charset val="204"/>
    </font>
    <font>
      <sz val="10"/>
      <name val="Times New Roman"/>
      <family val="1"/>
    </font>
    <font>
      <sz val="10"/>
      <name val="Courier New CYR"/>
      <charset val="204"/>
    </font>
    <font>
      <sz val="10"/>
      <name val="宋体"/>
      <charset val="134"/>
    </font>
    <font>
      <sz val="12"/>
      <color theme="1"/>
      <name val="Calibri"/>
      <family val="2"/>
      <charset val="204"/>
      <scheme val="minor"/>
    </font>
    <font>
      <b/>
      <sz val="12"/>
      <color rgb="FF0000FF"/>
      <name val="Calibri"/>
      <family val="2"/>
      <charset val="204"/>
      <scheme val="minor"/>
    </font>
    <font>
      <b/>
      <sz val="14"/>
      <color rgb="FF000000"/>
      <name val="Consolas"/>
      <family val="3"/>
      <charset val="204"/>
    </font>
    <font>
      <sz val="12"/>
      <color rgb="FF000000"/>
      <name val="Consolas"/>
      <family val="3"/>
      <charset val="204"/>
    </font>
    <font>
      <sz val="10"/>
      <name val="Consolas"/>
      <family val="3"/>
      <charset val="204"/>
    </font>
    <font>
      <b/>
      <sz val="10"/>
      <name val="Consolas"/>
      <family val="3"/>
      <charset val="204"/>
    </font>
    <font>
      <sz val="10"/>
      <color theme="1"/>
      <name val="Consolas"/>
      <family val="3"/>
      <charset val="204"/>
    </font>
    <font>
      <b/>
      <sz val="10"/>
      <color theme="1"/>
      <name val="Consolas"/>
      <family val="3"/>
      <charset val="204"/>
    </font>
    <font>
      <b/>
      <sz val="10"/>
      <color rgb="FF0000FF"/>
      <name val="Consolas"/>
      <family val="3"/>
      <charset val="204"/>
    </font>
    <font>
      <b/>
      <sz val="10"/>
      <color rgb="FF000000"/>
      <name val="Consolas"/>
      <family val="3"/>
      <charset val="204"/>
    </font>
    <font>
      <sz val="10"/>
      <color rgb="FF000000"/>
      <name val="Consolas"/>
      <family val="3"/>
      <charset val="204"/>
    </font>
    <font>
      <sz val="10"/>
      <color rgb="FFFF0000"/>
      <name val="Consolas"/>
      <family val="3"/>
      <charset val="204"/>
    </font>
    <font>
      <b/>
      <sz val="10"/>
      <color rgb="FFFF0000"/>
      <name val="Consolas"/>
      <family val="3"/>
      <charset val="204"/>
    </font>
    <font>
      <sz val="10"/>
      <color rgb="FF0000FF"/>
      <name val="Consolas"/>
      <family val="3"/>
      <charset val="204"/>
    </font>
    <font>
      <u/>
      <sz val="10"/>
      <color theme="1"/>
      <name val="Consolas"/>
      <family val="3"/>
      <charset val="204"/>
    </font>
    <font>
      <sz val="10"/>
      <color theme="1" tint="0.14999847407452621"/>
      <name val="Consolas"/>
      <family val="3"/>
      <charset val="204"/>
    </font>
    <font>
      <b/>
      <sz val="10"/>
      <color theme="1" tint="0.14999847407452621"/>
      <name val="Consolas"/>
      <family val="3"/>
      <charset val="204"/>
    </font>
    <font>
      <u/>
      <sz val="10"/>
      <color rgb="FF0000FF"/>
      <name val="Consolas"/>
      <family val="3"/>
      <charset val="204"/>
    </font>
    <font>
      <b/>
      <sz val="8"/>
      <color rgb="FF0000FF"/>
      <name val="Consolas"/>
      <family val="3"/>
      <charset val="204"/>
    </font>
    <font>
      <b/>
      <sz val="10"/>
      <color rgb="FF375D6B"/>
      <name val="Consolas"/>
      <family val="3"/>
      <charset val="204"/>
    </font>
    <font>
      <sz val="10"/>
      <color rgb="FF375D6B"/>
      <name val="Consolas"/>
      <family val="3"/>
      <charset val="204"/>
    </font>
    <font>
      <b/>
      <sz val="14"/>
      <color rgb="FF375D6B"/>
      <name val="Consolas"/>
      <family val="3"/>
      <charset val="204"/>
    </font>
    <font>
      <sz val="10"/>
      <color rgb="FFC00000"/>
      <name val="Consolas"/>
      <family val="3"/>
      <charset val="204"/>
    </font>
    <font>
      <b/>
      <sz val="12"/>
      <color rgb="FF375D6B"/>
      <name val="Consolas"/>
      <family val="3"/>
      <charset val="204"/>
    </font>
    <font>
      <b/>
      <sz val="20"/>
      <color theme="0"/>
      <name val="Consolas"/>
      <family val="3"/>
      <charset val="204"/>
    </font>
    <font>
      <b/>
      <sz val="10"/>
      <color theme="0"/>
      <name val="Consolas"/>
      <family val="3"/>
      <charset val="204"/>
    </font>
    <font>
      <b/>
      <sz val="24"/>
      <color theme="0"/>
      <name val="Consolas"/>
      <family val="3"/>
      <charset val="204"/>
    </font>
    <font>
      <b/>
      <sz val="10"/>
      <color rgb="FF6CA1B4"/>
      <name val="Consolas"/>
      <family val="3"/>
      <charset val="204"/>
    </font>
    <font>
      <b/>
      <sz val="12"/>
      <color rgb="FF375D6B"/>
      <name val="Calibri"/>
      <family val="2"/>
      <charset val="204"/>
    </font>
    <font>
      <b/>
      <sz val="12"/>
      <color rgb="FF375D6B"/>
      <name val="Consolas"/>
      <family val="2"/>
      <charset val="204"/>
    </font>
    <font>
      <b/>
      <vertAlign val="superscript"/>
      <sz val="12"/>
      <color rgb="FF375D6B"/>
      <name val="Consolas"/>
      <family val="3"/>
      <charset val="204"/>
    </font>
    <font>
      <sz val="10"/>
      <color theme="0"/>
      <name val="Consolas"/>
      <family val="3"/>
      <charset val="204"/>
    </font>
    <font>
      <b/>
      <sz val="11"/>
      <color theme="0"/>
      <name val="Consolas"/>
      <family val="3"/>
      <charset val="204"/>
    </font>
    <font>
      <sz val="12"/>
      <color rgb="FFC00000"/>
      <name val="Consolas"/>
      <family val="3"/>
      <charset val="204"/>
    </font>
    <font>
      <sz val="14"/>
      <color rgb="FFC00000"/>
      <name val="Consolas"/>
      <family val="3"/>
      <charset val="204"/>
    </font>
    <font>
      <sz val="12"/>
      <color rgb="FF375D6B"/>
      <name val="Consolas"/>
      <family val="3"/>
      <charset val="204"/>
    </font>
    <font>
      <sz val="14"/>
      <color rgb="FF375D6B"/>
      <name val="Consolas"/>
      <family val="3"/>
      <charset val="204"/>
    </font>
    <font>
      <b/>
      <sz val="10"/>
      <color theme="1" tint="4.9989318521683403E-2"/>
      <name val="Consolas"/>
      <family val="3"/>
      <charset val="204"/>
    </font>
    <font>
      <sz val="10"/>
      <color theme="1" tint="4.9989318521683403E-2"/>
      <name val="Consolas"/>
      <family val="3"/>
      <charset val="204"/>
    </font>
    <font>
      <sz val="10"/>
      <color rgb="FF00B050"/>
      <name val="Consolas"/>
      <family val="3"/>
      <charset val="204"/>
    </font>
    <font>
      <sz val="11"/>
      <color rgb="FFC55D6B"/>
      <name val="Consolas"/>
      <family val="3"/>
      <charset val="204"/>
    </font>
    <font>
      <sz val="11"/>
      <color theme="0"/>
      <name val="Consolas"/>
      <family val="3"/>
      <charset val="204"/>
    </font>
    <font>
      <sz val="8"/>
      <color rgb="FF0000FF"/>
      <name val="Consolas"/>
      <family val="3"/>
      <charset val="204"/>
    </font>
    <font>
      <sz val="14"/>
      <color rgb="FF000000"/>
      <name val="Consolas"/>
      <family val="3"/>
      <charset val="204"/>
    </font>
    <font>
      <sz val="10"/>
      <color rgb="FF8EABB9"/>
      <name val="Consolas"/>
      <family val="3"/>
      <charset val="204"/>
    </font>
    <font>
      <sz val="9"/>
      <color theme="1"/>
      <name val="Consolas"/>
      <family val="3"/>
      <charset val="204"/>
    </font>
    <font>
      <sz val="9"/>
      <name val="Consolas"/>
      <family val="3"/>
      <charset val="204"/>
    </font>
    <font>
      <sz val="10"/>
      <color rgb="FF7030A0"/>
      <name val="Consolas"/>
      <family val="3"/>
      <charset val="204"/>
    </font>
  </fonts>
  <fills count="74">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65"/>
        <bgColor indexed="8"/>
      </patternFill>
    </fill>
    <fill>
      <patternFill patternType="solid">
        <fgColor indexed="11"/>
        <bgColor indexed="8"/>
      </patternFill>
    </fill>
    <fill>
      <patternFill patternType="solid">
        <fgColor indexed="45"/>
        <bgColor indexed="45"/>
      </patternFill>
    </fill>
    <fill>
      <patternFill patternType="solid">
        <fgColor indexed="41"/>
        <bgColor indexed="8"/>
      </patternFill>
    </fill>
    <fill>
      <patternFill patternType="solid">
        <fgColor indexed="41"/>
        <bgColor indexed="64"/>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indexed="10"/>
        <bgColor indexed="8"/>
      </patternFill>
    </fill>
    <fill>
      <patternFill patternType="solid">
        <fgColor indexed="65"/>
        <bgColor indexed="64"/>
      </patternFill>
    </fill>
    <fill>
      <patternFill patternType="lightGray"/>
    </fill>
    <fill>
      <patternFill patternType="gray0625"/>
    </fill>
    <fill>
      <patternFill patternType="solid">
        <fgColor indexed="13"/>
        <bgColor indexed="8"/>
      </patternFill>
    </fill>
    <fill>
      <patternFill patternType="solid">
        <fgColor indexed="26"/>
        <bgColor indexed="64"/>
      </patternFill>
    </fill>
    <fill>
      <patternFill patternType="solid">
        <fgColor indexed="43"/>
        <bgColor indexed="8"/>
      </patternFill>
    </fill>
    <fill>
      <patternFill patternType="solid">
        <fgColor indexed="22"/>
        <bgColor indexed="8"/>
      </patternFill>
    </fill>
    <fill>
      <patternFill patternType="solid">
        <fgColor indexed="23"/>
        <bgColor indexed="64"/>
      </patternFill>
    </fill>
    <fill>
      <patternFill patternType="solid">
        <fgColor indexed="43"/>
        <bgColor indexed="43"/>
      </patternFill>
    </fill>
    <fill>
      <patternFill patternType="solid">
        <fgColor indexed="9"/>
        <bgColor indexed="9"/>
      </patternFill>
    </fill>
    <fill>
      <patternFill patternType="solid">
        <fgColor indexed="52"/>
        <bgColor indexed="64"/>
      </patternFill>
    </fill>
    <fill>
      <patternFill patternType="solid">
        <fgColor indexed="43"/>
      </patternFill>
    </fill>
    <fill>
      <patternFill patternType="solid">
        <fgColor indexed="9"/>
      </patternFill>
    </fill>
    <fill>
      <patternFill patternType="solid">
        <fgColor indexed="58"/>
        <bgColor indexed="64"/>
      </patternFill>
    </fill>
    <fill>
      <patternFill patternType="solid">
        <fgColor indexed="9"/>
        <bgColor indexed="8"/>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bgColor indexed="57"/>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375D6B"/>
        <bgColor indexed="64"/>
      </patternFill>
    </fill>
    <fill>
      <patternFill patternType="solid">
        <fgColor rgb="FFC55D6B"/>
        <bgColor indexed="64"/>
      </patternFill>
    </fill>
    <fill>
      <patternFill patternType="darkGray">
        <fgColor rgb="FFCDDFE5"/>
      </patternFill>
    </fill>
    <fill>
      <patternFill patternType="darkGray">
        <fgColor theme="9" tint="0.79998168889431442"/>
        <bgColor indexed="65"/>
      </patternFill>
    </fill>
    <fill>
      <patternFill patternType="lightGray">
        <fgColor rgb="FFCDDFE5"/>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0"/>
      </left>
      <right style="thin">
        <color indexed="0"/>
      </right>
      <top style="thin">
        <color indexed="0"/>
      </top>
      <bottom style="thin">
        <color indexed="0"/>
      </bottom>
      <diagonal/>
    </border>
    <border>
      <left style="thin">
        <color rgb="FF6CA1B4"/>
      </left>
      <right style="thin">
        <color rgb="FF6CA1B4"/>
      </right>
      <top style="thin">
        <color rgb="FF6CA1B4"/>
      </top>
      <bottom style="thin">
        <color rgb="FF6CA1B4"/>
      </bottom>
      <diagonal/>
    </border>
    <border>
      <left style="double">
        <color rgb="FF6CA1B4"/>
      </left>
      <right style="double">
        <color rgb="FF6CA1B4"/>
      </right>
      <top style="double">
        <color rgb="FF6CA1B4"/>
      </top>
      <bottom style="double">
        <color rgb="FF6CA1B4"/>
      </bottom>
      <diagonal/>
    </border>
    <border>
      <left style="thin">
        <color rgb="FF6CA1B4"/>
      </left>
      <right style="thin">
        <color rgb="FF6CA1B4"/>
      </right>
      <top style="thin">
        <color rgb="FF6CA1B4"/>
      </top>
      <bottom/>
      <diagonal/>
    </border>
    <border>
      <left style="thin">
        <color rgb="FF6CA1B4"/>
      </left>
      <right style="thin">
        <color rgb="FF6CA1B4"/>
      </right>
      <top/>
      <bottom style="thin">
        <color rgb="FF6CA1B4"/>
      </bottom>
      <diagonal/>
    </border>
    <border>
      <left style="thin">
        <color rgb="FF6CA1B4"/>
      </left>
      <right/>
      <top style="thin">
        <color rgb="FF6CA1B4"/>
      </top>
      <bottom style="thin">
        <color rgb="FF6CA1B4"/>
      </bottom>
      <diagonal/>
    </border>
    <border>
      <left/>
      <right/>
      <top style="thin">
        <color rgb="FF6CA1B4"/>
      </top>
      <bottom style="thin">
        <color rgb="FF6CA1B4"/>
      </bottom>
      <diagonal/>
    </border>
    <border>
      <left/>
      <right style="thin">
        <color rgb="FF6CA1B4"/>
      </right>
      <top style="thin">
        <color rgb="FF6CA1B4"/>
      </top>
      <bottom style="thin">
        <color rgb="FF6CA1B4"/>
      </bottom>
      <diagonal/>
    </border>
    <border>
      <left/>
      <right/>
      <top/>
      <bottom style="thin">
        <color rgb="FF6CA1B4"/>
      </bottom>
      <diagonal/>
    </border>
    <border>
      <left/>
      <right style="thin">
        <color rgb="FF6CA1B4"/>
      </right>
      <top/>
      <bottom style="thin">
        <color rgb="FF6CA1B4"/>
      </bottom>
      <diagonal/>
    </border>
    <border>
      <left style="thin">
        <color rgb="FF375D6B"/>
      </left>
      <right style="thin">
        <color rgb="FF375D6B"/>
      </right>
      <top style="thin">
        <color rgb="FF375D6B"/>
      </top>
      <bottom style="thin">
        <color rgb="FF375D6B"/>
      </bottom>
      <diagonal/>
    </border>
    <border>
      <left style="thin">
        <color rgb="FFCDDFE5"/>
      </left>
      <right style="thin">
        <color rgb="FFCDDFE5"/>
      </right>
      <top style="thin">
        <color rgb="FF6CA1B4"/>
      </top>
      <bottom style="thin">
        <color rgb="FF6CA1B4"/>
      </bottom>
      <diagonal/>
    </border>
    <border>
      <left style="thin">
        <color rgb="FFCDDFE5"/>
      </left>
      <right/>
      <top style="thin">
        <color rgb="FF6CA1B4"/>
      </top>
      <bottom style="thin">
        <color rgb="FF6CA1B4"/>
      </bottom>
      <diagonal/>
    </border>
    <border>
      <left style="thin">
        <color rgb="FFCCFFFF"/>
      </left>
      <right style="thin">
        <color rgb="FFCCFFFF"/>
      </right>
      <top style="thin">
        <color rgb="FF6CA1B4"/>
      </top>
      <bottom style="thin">
        <color rgb="FF6CA1B4"/>
      </bottom>
      <diagonal/>
    </border>
    <border>
      <left/>
      <right style="thin">
        <color rgb="FFCDDFE5"/>
      </right>
      <top style="thin">
        <color rgb="FF6CA1B4"/>
      </top>
      <bottom style="thin">
        <color rgb="FF6CA1B4"/>
      </bottom>
      <diagonal/>
    </border>
    <border>
      <left style="thin">
        <color rgb="FF6CA1B4"/>
      </left>
      <right/>
      <top style="thin">
        <color rgb="FF6CA1B4"/>
      </top>
      <bottom/>
      <diagonal/>
    </border>
    <border>
      <left/>
      <right/>
      <top style="thin">
        <color rgb="FF6CA1B4"/>
      </top>
      <bottom/>
      <diagonal/>
    </border>
    <border>
      <left/>
      <right style="thin">
        <color rgb="FF6CA1B4"/>
      </right>
      <top style="thin">
        <color rgb="FF6CA1B4"/>
      </top>
      <bottom/>
      <diagonal/>
    </border>
    <border>
      <left style="thin">
        <color rgb="FF6CA1B4"/>
      </left>
      <right/>
      <top/>
      <bottom/>
      <diagonal/>
    </border>
    <border>
      <left/>
      <right style="thin">
        <color rgb="FF6CA1B4"/>
      </right>
      <top/>
      <bottom/>
      <diagonal/>
    </border>
    <border>
      <left style="thin">
        <color rgb="FF6CA1B4"/>
      </left>
      <right/>
      <top/>
      <bottom style="thin">
        <color rgb="FF6CA1B4"/>
      </bottom>
      <diagonal/>
    </border>
    <border>
      <left style="thin">
        <color rgb="FF6CA1B4"/>
      </left>
      <right style="thin">
        <color rgb="FF6CA1B4"/>
      </right>
      <top/>
      <bottom/>
      <diagonal/>
    </border>
  </borders>
  <cellStyleXfs count="3241">
    <xf numFmtId="0" fontId="0" fillId="0" borderId="0"/>
    <xf numFmtId="0" fontId="2" fillId="0" borderId="0"/>
    <xf numFmtId="0" fontId="2" fillId="0" borderId="0"/>
    <xf numFmtId="169" fontId="2" fillId="0" borderId="0" applyFont="0" applyFill="0" applyBorder="0" applyAlignment="0" applyProtection="0"/>
    <xf numFmtId="0" fontId="2" fillId="0" borderId="0"/>
    <xf numFmtId="0" fontId="2" fillId="0" borderId="0"/>
    <xf numFmtId="0" fontId="1" fillId="0" borderId="0"/>
    <xf numFmtId="0" fontId="2" fillId="0" borderId="0"/>
    <xf numFmtId="0" fontId="1" fillId="0" borderId="0"/>
    <xf numFmtId="0" fontId="2" fillId="0" borderId="0"/>
    <xf numFmtId="0" fontId="7" fillId="0" borderId="0"/>
    <xf numFmtId="170" fontId="8" fillId="2" borderId="4" applyNumberFormat="0" applyFont="0" applyFill="0" applyBorder="0" applyAlignment="0" applyProtection="0">
      <alignment horizontal="center"/>
    </xf>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1" fillId="0" borderId="0"/>
    <xf numFmtId="0" fontId="11" fillId="0" borderId="0"/>
    <xf numFmtId="0" fontId="10" fillId="0" borderId="0"/>
    <xf numFmtId="0" fontId="9" fillId="0" borderId="0"/>
    <xf numFmtId="0" fontId="11" fillId="0" borderId="0"/>
    <xf numFmtId="0" fontId="10" fillId="0" borderId="0"/>
    <xf numFmtId="0" fontId="11" fillId="0" borderId="0"/>
    <xf numFmtId="0" fontId="12" fillId="0" borderId="0"/>
    <xf numFmtId="49" fontId="8" fillId="2" borderId="1" applyBorder="0">
      <alignment horizontal="center" wrapText="1"/>
    </xf>
    <xf numFmtId="0" fontId="13" fillId="2" borderId="1" applyBorder="0">
      <alignment horizontal="left" wrapText="1"/>
    </xf>
    <xf numFmtId="0" fontId="8" fillId="2" borderId="2" applyBorder="0">
      <alignment horizontal="center" textRotation="90" wrapText="1"/>
    </xf>
    <xf numFmtId="0" fontId="10"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14" fillId="0" borderId="0">
      <alignment vertical="center"/>
    </xf>
    <xf numFmtId="0" fontId="9" fillId="0" borderId="0"/>
    <xf numFmtId="0" fontId="11" fillId="0" borderId="0"/>
    <xf numFmtId="0" fontId="10" fillId="0" borderId="0"/>
    <xf numFmtId="0" fontId="11" fillId="0" borderId="0"/>
    <xf numFmtId="0" fontId="10" fillId="0" borderId="0"/>
    <xf numFmtId="0" fontId="11" fillId="0" borderId="0"/>
    <xf numFmtId="0" fontId="11" fillId="0" borderId="0"/>
    <xf numFmtId="0" fontId="9"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9" fillId="0" borderId="0"/>
    <xf numFmtId="0" fontId="12" fillId="0" borderId="0"/>
    <xf numFmtId="0" fontId="10" fillId="0" borderId="0"/>
    <xf numFmtId="0" fontId="10" fillId="0" borderId="0"/>
    <xf numFmtId="0" fontId="10" fillId="0" borderId="0"/>
    <xf numFmtId="0" fontId="10" fillId="0" borderId="0"/>
    <xf numFmtId="0" fontId="11" fillId="0" borderId="0"/>
    <xf numFmtId="0" fontId="10" fillId="0" borderId="0"/>
    <xf numFmtId="0" fontId="11" fillId="0" borderId="0"/>
    <xf numFmtId="0" fontId="10" fillId="0" borderId="0"/>
    <xf numFmtId="0" fontId="11" fillId="0" borderId="0"/>
    <xf numFmtId="0" fontId="11" fillId="0" borderId="0"/>
    <xf numFmtId="0" fontId="10" fillId="0" borderId="0"/>
    <xf numFmtId="0" fontId="11" fillId="0" borderId="0"/>
    <xf numFmtId="0" fontId="11" fillId="0" borderId="0"/>
    <xf numFmtId="0" fontId="11" fillId="0" borderId="0"/>
    <xf numFmtId="0" fontId="9" fillId="0" borderId="0"/>
    <xf numFmtId="0" fontId="10" fillId="0" borderId="0"/>
    <xf numFmtId="0" fontId="11" fillId="0" borderId="0"/>
    <xf numFmtId="0" fontId="9" fillId="0" borderId="0"/>
    <xf numFmtId="0" fontId="10" fillId="0" borderId="0"/>
    <xf numFmtId="0" fontId="11" fillId="0" borderId="0"/>
    <xf numFmtId="0" fontId="9" fillId="0" borderId="0"/>
    <xf numFmtId="0" fontId="9" fillId="0" borderId="0"/>
    <xf numFmtId="0" fontId="15" fillId="0" borderId="0"/>
    <xf numFmtId="49" fontId="16" fillId="0" borderId="0" applyFill="0" applyProtection="0">
      <alignment horizontal="centerContinuous" wrapText="1"/>
    </xf>
    <xf numFmtId="0" fontId="17" fillId="3" borderId="5">
      <alignment horizontal="center"/>
    </xf>
    <xf numFmtId="171" fontId="18" fillId="4" borderId="1">
      <alignment horizontal="center"/>
    </xf>
    <xf numFmtId="1" fontId="2" fillId="0" borderId="6" applyFill="0" applyProtection="0">
      <alignment horizontal="center" vertical="center"/>
    </xf>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49" fontId="2" fillId="0" borderId="7" applyFill="0" applyProtection="0">
      <alignment horizontal="justify" vertical="center" wrapText="1"/>
    </xf>
    <xf numFmtId="49" fontId="19" fillId="0" borderId="7" applyFill="0" applyProtection="0">
      <alignment horizontal="center" vertical="center" wrapText="1"/>
    </xf>
    <xf numFmtId="2" fontId="2" fillId="0" borderId="8" applyFill="0" applyProtection="0">
      <alignment horizontal="center" vertical="center"/>
    </xf>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172" fontId="9" fillId="0" borderId="0" applyFont="0" applyFill="0" applyBorder="0" applyAlignment="0" applyProtection="0"/>
    <xf numFmtId="173" fontId="9" fillId="0" borderId="0" applyFont="0" applyFill="0" applyBorder="0" applyAlignment="0" applyProtection="0"/>
    <xf numFmtId="0" fontId="20"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15" fillId="23" borderId="0" applyNumberFormat="0" applyBorder="0" applyAlignment="0" applyProtection="0"/>
    <xf numFmtId="0" fontId="15" fillId="26" borderId="0" applyNumberFormat="0" applyBorder="0" applyAlignment="0" applyProtection="0"/>
    <xf numFmtId="0" fontId="20" fillId="24" borderId="0" applyNumberFormat="0" applyBorder="0" applyAlignment="0" applyProtection="0"/>
    <xf numFmtId="0" fontId="20" fillId="19"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20" fillId="24" borderId="0" applyNumberFormat="0" applyBorder="0" applyAlignment="0" applyProtection="0"/>
    <xf numFmtId="0" fontId="20" fillId="27" borderId="0" applyNumberFormat="0" applyBorder="0" applyAlignment="0" applyProtection="0"/>
    <xf numFmtId="0" fontId="15" fillId="28" borderId="0" applyNumberFormat="0" applyBorder="0" applyAlignment="0" applyProtection="0"/>
    <xf numFmtId="0" fontId="15" fillId="20" borderId="0" applyNumberFormat="0" applyBorder="0" applyAlignment="0" applyProtection="0"/>
    <xf numFmtId="0" fontId="20" fillId="21" borderId="0" applyNumberFormat="0" applyBorder="0" applyAlignment="0" applyProtection="0"/>
    <xf numFmtId="0" fontId="20" fillId="29" borderId="0" applyNumberFormat="0" applyBorder="0" applyAlignment="0" applyProtection="0"/>
    <xf numFmtId="0" fontId="15" fillId="23" borderId="0" applyNumberFormat="0" applyBorder="0" applyAlignment="0" applyProtection="0"/>
    <xf numFmtId="0" fontId="15" fillId="30" borderId="0" applyNumberFormat="0" applyBorder="0" applyAlignment="0" applyProtection="0"/>
    <xf numFmtId="0" fontId="20" fillId="30" borderId="0" applyNumberFormat="0" applyBorder="0" applyAlignment="0" applyProtection="0"/>
    <xf numFmtId="174" fontId="21" fillId="31" borderId="0">
      <alignment horizontal="center" vertical="center"/>
    </xf>
    <xf numFmtId="167" fontId="22" fillId="0" borderId="9" applyFont="0" applyBorder="0">
      <alignment horizontal="right" vertical="center"/>
    </xf>
    <xf numFmtId="0" fontId="23" fillId="0" borderId="0" applyNumberFormat="0" applyFill="0" applyBorder="0" applyAlignment="0" applyProtection="0">
      <alignment vertical="top"/>
      <protection locked="0"/>
    </xf>
    <xf numFmtId="172" fontId="9" fillId="0" borderId="0" applyFont="0" applyFill="0" applyBorder="0" applyAlignment="0" applyProtection="0"/>
    <xf numFmtId="173" fontId="9" fillId="0" borderId="0" applyFont="0" applyFill="0" applyBorder="0" applyAlignment="0" applyProtection="0"/>
    <xf numFmtId="171" fontId="18" fillId="32" borderId="1">
      <alignment vertical="center"/>
    </xf>
    <xf numFmtId="175" fontId="22" fillId="0" borderId="0" applyFont="0" applyBorder="0" applyProtection="0">
      <alignment vertical="center"/>
    </xf>
    <xf numFmtId="174" fontId="9" fillId="0" borderId="0" applyNumberFormat="0" applyFont="0" applyAlignment="0">
      <alignment horizontal="center" vertical="center"/>
    </xf>
    <xf numFmtId="39" fontId="24" fillId="2" borderId="0" applyNumberFormat="0" applyBorder="0">
      <alignment vertical="center"/>
    </xf>
    <xf numFmtId="0" fontId="25" fillId="33" borderId="0" applyNumberFormat="0" applyBorder="0" applyAlignment="0" applyProtection="0"/>
    <xf numFmtId="0" fontId="18" fillId="0" borderId="0">
      <alignment horizontal="left"/>
    </xf>
    <xf numFmtId="171" fontId="26" fillId="34" borderId="1">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1" fontId="26" fillId="35" borderId="1">
      <alignment vertical="center"/>
    </xf>
    <xf numFmtId="176" fontId="9" fillId="0" borderId="0"/>
    <xf numFmtId="176" fontId="9" fillId="0" borderId="0"/>
    <xf numFmtId="167" fontId="18" fillId="36" borderId="5">
      <alignment vertical="center"/>
    </xf>
    <xf numFmtId="0" fontId="27" fillId="25" borderId="10" applyNumberFormat="0" applyAlignment="0" applyProtection="0"/>
    <xf numFmtId="164" fontId="9" fillId="0" borderId="0" applyFont="0" applyFill="0" applyBorder="0" applyAlignment="0" applyProtection="0"/>
    <xf numFmtId="169" fontId="9" fillId="0" borderId="0" applyFont="0" applyFill="0" applyBorder="0" applyAlignment="0" applyProtection="0"/>
    <xf numFmtId="177" fontId="2" fillId="0" borderId="0" applyFont="0" applyFill="0" applyBorder="0" applyAlignment="0" applyProtection="0"/>
    <xf numFmtId="178" fontId="11" fillId="0" borderId="0" applyFont="0" applyFill="0" applyBorder="0" applyAlignment="0" applyProtection="0"/>
    <xf numFmtId="179" fontId="9" fillId="0" borderId="0">
      <alignment horizontal="center"/>
    </xf>
    <xf numFmtId="0" fontId="28" fillId="0" borderId="11" applyNumberFormat="0" applyFill="0" applyProtection="0">
      <alignment vertical="top"/>
    </xf>
    <xf numFmtId="164" fontId="9" fillId="0" borderId="0" applyFont="0" applyFill="0" applyBorder="0" applyAlignment="0" applyProtection="0"/>
    <xf numFmtId="165" fontId="9" fillId="0" borderId="0" applyFont="0" applyFill="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9" fillId="0" borderId="0" applyNumberFormat="0" applyFont="0">
      <alignment wrapText="1"/>
    </xf>
    <xf numFmtId="0" fontId="31" fillId="40" borderId="0">
      <alignment horizontal="centerContinuous" vertical="center"/>
    </xf>
    <xf numFmtId="167" fontId="18" fillId="4" borderId="1" applyBorder="0">
      <alignment horizontal="center" vertical="center"/>
    </xf>
    <xf numFmtId="0" fontId="32" fillId="26" borderId="0" applyNumberFormat="0" applyBorder="0" applyAlignment="0" applyProtection="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28" fillId="41" borderId="11" applyNumberFormat="0" applyProtection="0">
      <alignment vertical="top"/>
    </xf>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2" fontId="36" fillId="42" borderId="3">
      <alignment horizontal="left"/>
      <protection locked="0"/>
    </xf>
    <xf numFmtId="0" fontId="37" fillId="43" borderId="0"/>
    <xf numFmtId="0" fontId="37" fillId="43" borderId="0"/>
    <xf numFmtId="0" fontId="37" fillId="43" borderId="0"/>
    <xf numFmtId="0" fontId="37" fillId="43" borderId="0"/>
    <xf numFmtId="0" fontId="37" fillId="43" borderId="0"/>
    <xf numFmtId="0" fontId="37" fillId="43" borderId="0"/>
    <xf numFmtId="0" fontId="37" fillId="43" borderId="0"/>
    <xf numFmtId="0" fontId="37" fillId="43" borderId="0"/>
    <xf numFmtId="0" fontId="37" fillId="43" borderId="0"/>
    <xf numFmtId="0" fontId="37" fillId="43" borderId="0"/>
    <xf numFmtId="0" fontId="3" fillId="44" borderId="0"/>
    <xf numFmtId="0" fontId="3" fillId="44" borderId="0"/>
    <xf numFmtId="0" fontId="3" fillId="44" borderId="0"/>
    <xf numFmtId="0" fontId="3" fillId="44" borderId="0"/>
    <xf numFmtId="0" fontId="3" fillId="44" borderId="0"/>
    <xf numFmtId="0" fontId="3" fillId="44" borderId="0"/>
    <xf numFmtId="0" fontId="3" fillId="44" borderId="0"/>
    <xf numFmtId="0" fontId="3" fillId="44" borderId="0"/>
    <xf numFmtId="0" fontId="3" fillId="44" borderId="0"/>
    <xf numFmtId="0" fontId="3" fillId="44"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4" fillId="45" borderId="1">
      <alignment horizontal="center" vertical="center" wrapText="1"/>
      <protection locked="0"/>
    </xf>
    <xf numFmtId="2" fontId="39" fillId="0" borderId="1">
      <alignment horizontal="center" vertical="center"/>
    </xf>
    <xf numFmtId="0" fontId="40" fillId="0" borderId="0"/>
    <xf numFmtId="0" fontId="9" fillId="0" borderId="0"/>
    <xf numFmtId="0" fontId="41" fillId="30" borderId="15" applyNumberFormat="0" applyAlignment="0" applyProtection="0"/>
    <xf numFmtId="10" fontId="42" fillId="46" borderId="1" applyNumberFormat="0" applyBorder="0" applyAlignment="0" applyProtection="0"/>
    <xf numFmtId="167" fontId="18" fillId="47" borderId="1">
      <alignment vertical="center"/>
      <protection locked="0"/>
    </xf>
    <xf numFmtId="0" fontId="43" fillId="0" borderId="0">
      <alignment horizontal="center" vertical="center" wrapText="1"/>
    </xf>
    <xf numFmtId="171" fontId="9" fillId="48" borderId="1">
      <alignment vertical="center"/>
    </xf>
    <xf numFmtId="180" fontId="44" fillId="0" borderId="0" applyFont="0" applyFill="0" applyBorder="0" applyAlignment="0" applyProtection="0"/>
    <xf numFmtId="0" fontId="45" fillId="0" borderId="0">
      <alignment horizontal="center" vertical="center" wrapText="1"/>
    </xf>
    <xf numFmtId="174" fontId="46" fillId="49" borderId="16" applyBorder="0" applyAlignment="0">
      <alignment horizontal="left" indent="1"/>
    </xf>
    <xf numFmtId="0" fontId="47" fillId="0" borderId="17" applyNumberFormat="0" applyFill="0" applyAlignment="0" applyProtection="0"/>
    <xf numFmtId="0" fontId="48" fillId="50" borderId="0" applyNumberFormat="0" applyBorder="0" applyAlignment="0" applyProtection="0"/>
    <xf numFmtId="0" fontId="8" fillId="2" borderId="1" applyFont="0" applyBorder="0" applyAlignment="0">
      <alignment horizontal="center" vertical="center"/>
    </xf>
    <xf numFmtId="181" fontId="49" fillId="0" borderId="0"/>
    <xf numFmtId="0" fontId="9" fillId="0" borderId="0"/>
    <xf numFmtId="0" fontId="9" fillId="0" borderId="0"/>
    <xf numFmtId="0" fontId="9" fillId="0" borderId="0"/>
    <xf numFmtId="0" fontId="10" fillId="0" borderId="0"/>
    <xf numFmtId="0" fontId="10" fillId="0" borderId="0"/>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3" fontId="36" fillId="0" borderId="0" applyNumberFormat="0">
      <alignment horizontal="center"/>
    </xf>
    <xf numFmtId="167" fontId="9" fillId="0" borderId="0" applyFont="0" applyFill="0" applyBorder="0" applyAlignment="0" applyProtection="0"/>
    <xf numFmtId="169" fontId="9" fillId="0" borderId="0" applyFont="0" applyFill="0" applyBorder="0" applyAlignment="0" applyProtection="0"/>
    <xf numFmtId="182" fontId="50" fillId="0" borderId="0">
      <alignment horizontal="left"/>
    </xf>
    <xf numFmtId="3" fontId="51" fillId="0" borderId="0">
      <alignment vertical="top"/>
    </xf>
    <xf numFmtId="3" fontId="51" fillId="0" borderId="0">
      <alignment vertical="top"/>
    </xf>
    <xf numFmtId="3" fontId="51" fillId="0" borderId="0">
      <alignment vertical="top"/>
    </xf>
    <xf numFmtId="3" fontId="51" fillId="0" borderId="0">
      <alignment vertical="top"/>
    </xf>
    <xf numFmtId="3" fontId="51" fillId="0" borderId="0">
      <alignment vertical="top"/>
    </xf>
    <xf numFmtId="3" fontId="51" fillId="0" borderId="0">
      <alignment vertical="top"/>
    </xf>
    <xf numFmtId="3" fontId="51" fillId="0" borderId="0">
      <alignment vertical="top"/>
    </xf>
    <xf numFmtId="3" fontId="51" fillId="0" borderId="0">
      <alignment vertical="top"/>
    </xf>
    <xf numFmtId="3" fontId="51" fillId="0" borderId="0">
      <alignment vertical="top"/>
    </xf>
    <xf numFmtId="3" fontId="51" fillId="0" borderId="0">
      <alignment vertical="top"/>
    </xf>
    <xf numFmtId="183" fontId="2" fillId="0" borderId="0" applyFont="0" applyFill="0" applyBorder="0" applyAlignment="0" applyProtection="0"/>
    <xf numFmtId="0" fontId="52" fillId="51" borderId="18" applyNumberFormat="0" applyAlignment="0" applyProtection="0"/>
    <xf numFmtId="0" fontId="53" fillId="2" borderId="0">
      <alignment vertical="center"/>
    </xf>
    <xf numFmtId="39" fontId="24" fillId="2" borderId="0">
      <alignment vertical="center"/>
    </xf>
    <xf numFmtId="10" fontId="9" fillId="0" borderId="0" applyFont="0" applyFill="0" applyBorder="0" applyAlignment="0" applyProtection="0"/>
    <xf numFmtId="9" fontId="9" fillId="0" borderId="0" applyFont="0" applyFill="0" applyBorder="0" applyAlignment="0" applyProtection="0"/>
    <xf numFmtId="184" fontId="9" fillId="0" borderId="0"/>
    <xf numFmtId="185" fontId="50" fillId="0" borderId="0"/>
    <xf numFmtId="0" fontId="9" fillId="0" borderId="0"/>
    <xf numFmtId="171" fontId="54" fillId="48" borderId="1">
      <alignment horizontal="center" vertical="center" wrapText="1"/>
      <protection locked="0"/>
    </xf>
    <xf numFmtId="186" fontId="9" fillId="0" borderId="0" applyFont="0" applyFill="0" applyBorder="0" applyAlignment="0" applyProtection="0"/>
    <xf numFmtId="0" fontId="9" fillId="0"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9" fillId="52" borderId="0">
      <alignment vertical="center"/>
    </xf>
    <xf numFmtId="0" fontId="55" fillId="53" borderId="1">
      <alignment vertical="top"/>
    </xf>
    <xf numFmtId="0" fontId="56" fillId="54" borderId="0">
      <alignment horizontal="center" vertical="center"/>
    </xf>
    <xf numFmtId="0" fontId="56" fillId="54" borderId="0">
      <alignment horizontal="right" vertical="top"/>
    </xf>
    <xf numFmtId="0" fontId="57" fillId="0" borderId="0" applyNumberFormat="0" applyFill="0" applyBorder="0" applyAlignment="0" applyProtection="0"/>
    <xf numFmtId="187" fontId="9" fillId="31" borderId="1">
      <alignment vertical="center"/>
    </xf>
    <xf numFmtId="188" fontId="58" fillId="0" borderId="1">
      <alignment horizontal="left" vertical="center"/>
      <protection locked="0"/>
    </xf>
    <xf numFmtId="0" fontId="9" fillId="55" borderId="0"/>
    <xf numFmtId="0" fontId="10" fillId="0" borderId="0"/>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171" fontId="9" fillId="40" borderId="19" applyNumberFormat="0" applyFont="0" applyAlignment="0">
      <alignment horizontal="left"/>
    </xf>
    <xf numFmtId="0" fontId="59" fillId="0" borderId="0"/>
    <xf numFmtId="3" fontId="30" fillId="0" borderId="0">
      <protection locked="0"/>
    </xf>
    <xf numFmtId="189" fontId="9" fillId="0" borderId="0" applyFont="0" applyFill="0" applyBorder="0" applyAlignment="0" applyProtection="0"/>
    <xf numFmtId="190" fontId="9" fillId="0" borderId="0" applyFont="0" applyFill="0" applyBorder="0" applyAlignment="0" applyProtection="0"/>
    <xf numFmtId="182" fontId="50" fillId="0" borderId="0">
      <alignment horizontal="left"/>
    </xf>
    <xf numFmtId="191" fontId="9" fillId="2" borderId="0" applyFill="0"/>
    <xf numFmtId="0" fontId="60" fillId="0" borderId="0" applyNumberFormat="0" applyFill="0" applyBorder="0" applyAlignment="0" applyProtection="0">
      <alignment horizontal="center"/>
    </xf>
    <xf numFmtId="171" fontId="17" fillId="3" borderId="5">
      <alignment horizontal="center" vertical="center"/>
    </xf>
    <xf numFmtId="192" fontId="9" fillId="0" borderId="0" applyFont="0" applyFill="0" applyBorder="0" applyAlignment="0" applyProtection="0"/>
    <xf numFmtId="193" fontId="9" fillId="0" borderId="0" applyFont="0" applyFill="0" applyBorder="0" applyAlignment="0" applyProtection="0"/>
    <xf numFmtId="0" fontId="61" fillId="0" borderId="20"/>
    <xf numFmtId="0" fontId="62" fillId="0" borderId="0" applyNumberFormat="0" applyFill="0" applyBorder="0" applyAlignment="0" applyProtection="0"/>
    <xf numFmtId="0" fontId="63" fillId="56" borderId="21">
      <alignment vertical="center"/>
      <protection locked="0"/>
    </xf>
    <xf numFmtId="194" fontId="9" fillId="0" borderId="0" applyFont="0" applyFill="0" applyBorder="0" applyAlignment="0" applyProtection="0"/>
    <xf numFmtId="195" fontId="9" fillId="0" borderId="0" applyFont="0" applyFill="0" applyBorder="0" applyAlignment="0" applyProtection="0"/>
    <xf numFmtId="0" fontId="63" fillId="47" borderId="1">
      <alignment horizontal="right" wrapText="1"/>
      <protection locked="0"/>
    </xf>
    <xf numFmtId="171" fontId="9" fillId="47" borderId="1" applyNumberFormat="0" applyFill="0" applyBorder="0" applyProtection="0">
      <alignment vertical="center"/>
      <protection locked="0"/>
    </xf>
    <xf numFmtId="171" fontId="9" fillId="47" borderId="1" applyNumberFormat="0" applyFill="0" applyBorder="0" applyProtection="0">
      <alignment vertical="center"/>
      <protection locked="0"/>
    </xf>
    <xf numFmtId="171" fontId="9" fillId="47" borderId="1" applyNumberFormat="0" applyFill="0" applyBorder="0" applyProtection="0">
      <alignment vertical="center"/>
      <protection locked="0"/>
    </xf>
    <xf numFmtId="171" fontId="9" fillId="47" borderId="1" applyNumberFormat="0" applyFill="0" applyBorder="0" applyProtection="0">
      <alignment vertical="center"/>
      <protection locked="0"/>
    </xf>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41" fillId="10" borderId="15" applyNumberFormat="0" applyAlignment="0" applyProtection="0"/>
    <xf numFmtId="0" fontId="41" fillId="10" borderId="15" applyNumberFormat="0" applyAlignment="0" applyProtection="0"/>
    <xf numFmtId="0" fontId="41" fillId="10" borderId="15" applyNumberFormat="0" applyAlignment="0" applyProtection="0"/>
    <xf numFmtId="0" fontId="41" fillId="10" borderId="15" applyNumberFormat="0" applyAlignment="0" applyProtection="0"/>
    <xf numFmtId="0" fontId="41" fillId="10" borderId="15" applyNumberFormat="0" applyAlignment="0" applyProtection="0"/>
    <xf numFmtId="0" fontId="41" fillId="10" borderId="15" applyNumberFormat="0" applyAlignment="0" applyProtection="0"/>
    <xf numFmtId="0" fontId="41" fillId="10" borderId="15" applyNumberFormat="0" applyAlignment="0" applyProtection="0"/>
    <xf numFmtId="0" fontId="41" fillId="10" borderId="15" applyNumberFormat="0" applyAlignment="0" applyProtection="0"/>
    <xf numFmtId="0" fontId="52" fillId="61" borderId="18" applyNumberFormat="0" applyAlignment="0" applyProtection="0"/>
    <xf numFmtId="0" fontId="52" fillId="61" borderId="18" applyNumberFormat="0" applyAlignment="0" applyProtection="0"/>
    <xf numFmtId="0" fontId="52" fillId="61" borderId="18" applyNumberFormat="0" applyAlignment="0" applyProtection="0"/>
    <xf numFmtId="0" fontId="52" fillId="61" borderId="18" applyNumberFormat="0" applyAlignment="0" applyProtection="0"/>
    <xf numFmtId="0" fontId="52" fillId="61" borderId="18" applyNumberFormat="0" applyAlignment="0" applyProtection="0"/>
    <xf numFmtId="0" fontId="52" fillId="61" borderId="18" applyNumberFormat="0" applyAlignment="0" applyProtection="0"/>
    <xf numFmtId="0" fontId="52" fillId="61" borderId="18" applyNumberFormat="0" applyAlignment="0" applyProtection="0"/>
    <xf numFmtId="0" fontId="52" fillId="61" borderId="18" applyNumberFormat="0" applyAlignment="0" applyProtection="0"/>
    <xf numFmtId="0" fontId="64" fillId="61" borderId="15" applyNumberFormat="0" applyAlignment="0" applyProtection="0"/>
    <xf numFmtId="0" fontId="64" fillId="61" borderId="15" applyNumberFormat="0" applyAlignment="0" applyProtection="0"/>
    <xf numFmtId="0" fontId="64" fillId="61" borderId="15" applyNumberFormat="0" applyAlignment="0" applyProtection="0"/>
    <xf numFmtId="0" fontId="64" fillId="61" borderId="15" applyNumberFormat="0" applyAlignment="0" applyProtection="0"/>
    <xf numFmtId="0" fontId="64" fillId="61" borderId="15" applyNumberFormat="0" applyAlignment="0" applyProtection="0"/>
    <xf numFmtId="0" fontId="64" fillId="61" borderId="15" applyNumberFormat="0" applyAlignment="0" applyProtection="0"/>
    <xf numFmtId="0" fontId="64" fillId="61" borderId="15" applyNumberFormat="0" applyAlignment="0" applyProtection="0"/>
    <xf numFmtId="0" fontId="64" fillId="61" borderId="15" applyNumberFormat="0" applyAlignment="0" applyProtection="0"/>
    <xf numFmtId="168" fontId="9" fillId="0" borderId="0" applyFont="0" applyFill="0" applyBorder="0" applyAlignment="0" applyProtection="0"/>
    <xf numFmtId="173" fontId="9" fillId="0" borderId="0" applyFont="0" applyFill="0" applyBorder="0" applyAlignment="0" applyProtection="0"/>
    <xf numFmtId="174" fontId="24" fillId="2" borderId="0" applyNumberFormat="0" applyFont="0" applyFill="0" applyBorder="0" applyAlignment="0" applyProtection="0">
      <alignment vertical="center"/>
    </xf>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6" fillId="0" borderId="1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2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lignment horizontal="left"/>
    </xf>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69" fillId="2" borderId="0"/>
    <xf numFmtId="0" fontId="27" fillId="62" borderId="10" applyNumberFormat="0" applyAlignment="0" applyProtection="0"/>
    <xf numFmtId="0" fontId="27" fillId="62" borderId="10" applyNumberFormat="0" applyAlignment="0" applyProtection="0"/>
    <xf numFmtId="0" fontId="27" fillId="62" borderId="10" applyNumberFormat="0" applyAlignment="0" applyProtection="0"/>
    <xf numFmtId="0" fontId="27" fillId="62" borderId="10" applyNumberFormat="0" applyAlignment="0" applyProtection="0"/>
    <xf numFmtId="0" fontId="27" fillId="62" borderId="10" applyNumberFormat="0" applyAlignment="0" applyProtection="0"/>
    <xf numFmtId="0" fontId="27" fillId="62" borderId="10" applyNumberFormat="0" applyAlignment="0" applyProtection="0"/>
    <xf numFmtId="0" fontId="27" fillId="62" borderId="10" applyNumberFormat="0" applyAlignment="0" applyProtection="0"/>
    <xf numFmtId="0" fontId="27" fillId="62" borderId="10" applyNumberFormat="0" applyAlignment="0" applyProtection="0"/>
    <xf numFmtId="0" fontId="70" fillId="2"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166" fontId="2" fillId="0" borderId="0" applyFont="0" applyFill="0" applyBorder="0" applyAlignment="0" applyProtection="0"/>
    <xf numFmtId="0" fontId="1" fillId="0" borderId="0"/>
    <xf numFmtId="0" fontId="2" fillId="0" borderId="0"/>
    <xf numFmtId="0" fontId="1" fillId="0" borderId="0"/>
    <xf numFmtId="0" fontId="7" fillId="0" borderId="0"/>
    <xf numFmtId="0" fontId="9" fillId="0" borderId="0"/>
    <xf numFmtId="0" fontId="9" fillId="0" borderId="0"/>
    <xf numFmtId="0" fontId="9"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72" fillId="0" borderId="0"/>
    <xf numFmtId="0" fontId="9" fillId="0" borderId="0"/>
    <xf numFmtId="0" fontId="73" fillId="0" borderId="0"/>
    <xf numFmtId="0" fontId="1" fillId="0" borderId="0"/>
    <xf numFmtId="0" fontId="9" fillId="0" borderId="0"/>
    <xf numFmtId="0" fontId="1" fillId="0" borderId="0"/>
    <xf numFmtId="0" fontId="1" fillId="0" borderId="0"/>
    <xf numFmtId="0" fontId="1" fillId="0" borderId="0"/>
    <xf numFmtId="0" fontId="1" fillId="0" borderId="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0" fontId="2" fillId="63" borderId="25" applyNumberFormat="0" applyFont="0" applyAlignment="0" applyProtection="0"/>
    <xf numFmtId="9" fontId="1"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76" fillId="35" borderId="0">
      <alignment horizontal="center" vertical="top"/>
    </xf>
    <xf numFmtId="3" fontId="77" fillId="0" borderId="0" applyFont="0" applyFill="0" applyBorder="0" applyProtection="0">
      <alignment horizontal="right" vertical="center"/>
    </xf>
    <xf numFmtId="0" fontId="11" fillId="0" borderId="0"/>
    <xf numFmtId="0" fontId="9" fillId="0" borderId="0"/>
    <xf numFmtId="0" fontId="10" fillId="0" borderId="0"/>
    <xf numFmtId="0" fontId="11" fillId="0" borderId="0"/>
    <xf numFmtId="196" fontId="78" fillId="0" borderId="0" applyFont="0" applyFill="0" applyBorder="0" applyAlignment="0" applyProtection="0"/>
    <xf numFmtId="169" fontId="18" fillId="0" borderId="0" applyFont="0" applyFill="0" applyBorder="0" applyAlignment="0" applyProtection="0"/>
    <xf numFmtId="169" fontId="7"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3"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97" fontId="9" fillId="0" borderId="0" applyFont="0" applyFill="0" applyBorder="0" applyAlignment="0" applyProtection="0"/>
    <xf numFmtId="169" fontId="1" fillId="0" borderId="0" applyFont="0" applyFill="0" applyBorder="0" applyAlignment="0" applyProtection="0"/>
    <xf numFmtId="198"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7" fontId="18" fillId="64" borderId="1">
      <alignment horizontal="center" vertical="center"/>
      <protection locked="0"/>
    </xf>
    <xf numFmtId="167" fontId="18" fillId="64" borderId="1">
      <alignment horizontal="center" vertical="center"/>
      <protection locked="0"/>
    </xf>
    <xf numFmtId="199"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199"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199" fontId="18" fillId="64" borderId="1">
      <alignment horizontal="center" vertical="center"/>
      <protection locked="0"/>
    </xf>
    <xf numFmtId="167" fontId="18" fillId="64" borderId="1">
      <alignment horizontal="center" vertical="center"/>
      <protection locked="0"/>
    </xf>
    <xf numFmtId="199" fontId="18" fillId="64" borderId="1">
      <alignment horizontal="center" vertical="center"/>
      <protection locked="0"/>
    </xf>
    <xf numFmtId="167" fontId="18" fillId="64" borderId="1">
      <alignment horizontal="center" vertical="center"/>
      <protection locked="0"/>
    </xf>
    <xf numFmtId="199" fontId="18" fillId="64" borderId="1">
      <alignment horizontal="center" vertical="center"/>
      <protection locked="0"/>
    </xf>
    <xf numFmtId="167" fontId="18" fillId="64" borderId="1">
      <alignment horizontal="center" vertical="center"/>
      <protection locked="0"/>
    </xf>
    <xf numFmtId="199"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167" fontId="18" fillId="64" borderId="1">
      <alignment horizontal="center" vertical="center"/>
      <protection locked="0"/>
    </xf>
    <xf numFmtId="0" fontId="79" fillId="0" borderId="0"/>
    <xf numFmtId="0" fontId="9" fillId="0" borderId="0"/>
    <xf numFmtId="0" fontId="9" fillId="0" borderId="26" applyNumberFormat="0" applyFill="0" applyProtection="0">
      <alignment horizontal="center" vertical="center" wrapText="1"/>
    </xf>
    <xf numFmtId="0"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alignment horizontal="left" vertical="top"/>
    </xf>
    <xf numFmtId="0" fontId="9" fillId="0" borderId="1" applyBorder="0" applyAlignment="0">
      <alignment horizontal="center" wrapText="1"/>
    </xf>
    <xf numFmtId="0" fontId="5" fillId="0" borderId="0">
      <alignment horizontal="center"/>
    </xf>
    <xf numFmtId="0" fontId="1" fillId="0" borderId="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1" fontId="18" fillId="64" borderId="1">
      <alignment horizontal="center" vertical="center"/>
      <protection locked="0"/>
    </xf>
    <xf numFmtId="41" fontId="18" fillId="64" borderId="1">
      <alignment horizontal="center" vertical="center"/>
      <protection locked="0"/>
    </xf>
    <xf numFmtId="41" fontId="18" fillId="64" borderId="1">
      <alignment horizontal="center" vertical="center"/>
      <protection locked="0"/>
    </xf>
    <xf numFmtId="41" fontId="18" fillId="64" borderId="1">
      <alignment horizontal="center" vertical="center"/>
      <protection locked="0"/>
    </xf>
    <xf numFmtId="41" fontId="18" fillId="64" borderId="1">
      <alignment horizontal="center" vertical="center"/>
      <protection locked="0"/>
    </xf>
    <xf numFmtId="41" fontId="18" fillId="64" borderId="1">
      <alignment horizontal="center" vertical="center"/>
      <protection locked="0"/>
    </xf>
    <xf numFmtId="43" fontId="1" fillId="0" borderId="0" applyFont="0" applyFill="0" applyBorder="0" applyAlignment="0" applyProtection="0"/>
  </cellStyleXfs>
  <cellXfs count="613">
    <xf numFmtId="0" fontId="0" fillId="0" borderId="0" xfId="0"/>
    <xf numFmtId="0" fontId="0" fillId="0" borderId="0" xfId="0" applyBorder="1"/>
    <xf numFmtId="0" fontId="80" fillId="0" borderId="0" xfId="0" applyFont="1" applyBorder="1"/>
    <xf numFmtId="0" fontId="0" fillId="0" borderId="0" xfId="0" applyFill="1" applyBorder="1"/>
    <xf numFmtId="4" fontId="80" fillId="0" borderId="0" xfId="0" applyNumberFormat="1" applyFont="1" applyBorder="1"/>
    <xf numFmtId="0" fontId="86" fillId="0" borderId="0" xfId="0" applyFont="1" applyBorder="1"/>
    <xf numFmtId="0" fontId="86" fillId="0" borderId="0" xfId="0" applyFont="1" applyBorder="1" applyAlignment="1">
      <alignment horizontal="center"/>
    </xf>
    <xf numFmtId="0" fontId="86" fillId="0" borderId="0" xfId="0" applyFont="1" applyBorder="1" applyAlignment="1">
      <alignment horizontal="right" indent="1"/>
    </xf>
    <xf numFmtId="0" fontId="102" fillId="0" borderId="0" xfId="0" applyFont="1" applyBorder="1" applyAlignment="1">
      <alignment horizontal="center"/>
    </xf>
    <xf numFmtId="0" fontId="100" fillId="0" borderId="0" xfId="0" applyFont="1" applyBorder="1" applyAlignment="1">
      <alignment horizontal="center"/>
    </xf>
    <xf numFmtId="4" fontId="102" fillId="0" borderId="0" xfId="0" applyNumberFormat="1" applyFont="1" applyFill="1" applyBorder="1" applyAlignment="1">
      <alignment horizontal="center"/>
    </xf>
    <xf numFmtId="0" fontId="80" fillId="0" borderId="0" xfId="0" applyFont="1" applyFill="1" applyBorder="1"/>
    <xf numFmtId="0" fontId="88" fillId="0" borderId="0" xfId="0" applyFont="1" applyBorder="1" applyAlignment="1" applyProtection="1">
      <alignment horizontal="left" indent="1"/>
    </xf>
    <xf numFmtId="0" fontId="102" fillId="0" borderId="0" xfId="0" applyFont="1" applyBorder="1" applyAlignment="1" applyProtection="1">
      <alignment horizontal="left" indent="1"/>
    </xf>
    <xf numFmtId="0" fontId="100" fillId="0" borderId="0" xfId="0" applyFont="1" applyBorder="1" applyAlignment="1" applyProtection="1">
      <alignment horizontal="left" indent="1"/>
    </xf>
    <xf numFmtId="4" fontId="102" fillId="0" borderId="0" xfId="0" applyNumberFormat="1" applyFont="1" applyFill="1" applyBorder="1" applyAlignment="1" applyProtection="1">
      <alignment horizontal="center"/>
    </xf>
    <xf numFmtId="0" fontId="93" fillId="0" borderId="0" xfId="0" applyFont="1" applyBorder="1" applyAlignment="1" applyProtection="1">
      <alignment horizontal="left" indent="1"/>
    </xf>
    <xf numFmtId="0" fontId="107" fillId="0" borderId="0" xfId="0" applyFont="1" applyBorder="1" applyAlignment="1" applyProtection="1">
      <alignment horizontal="left" vertical="center" indent="1"/>
    </xf>
    <xf numFmtId="0" fontId="120" fillId="0" borderId="0" xfId="0" applyFont="1" applyBorder="1" applyAlignment="1" applyProtection="1">
      <alignment horizontal="right" vertical="center" wrapText="1"/>
    </xf>
    <xf numFmtId="4" fontId="114" fillId="0" borderId="0" xfId="0" applyNumberFormat="1" applyFont="1" applyFill="1" applyBorder="1" applyAlignment="1" applyProtection="1">
      <alignment horizontal="center" vertical="center"/>
    </xf>
    <xf numFmtId="0" fontId="124" fillId="0" borderId="0" xfId="0" applyFont="1" applyBorder="1" applyAlignment="1" applyProtection="1">
      <alignment horizontal="center"/>
    </xf>
    <xf numFmtId="3" fontId="124" fillId="0" borderId="0" xfId="0" applyNumberFormat="1" applyFont="1" applyBorder="1" applyAlignment="1" applyProtection="1">
      <alignment horizontal="center"/>
    </xf>
    <xf numFmtId="0" fontId="112" fillId="68" borderId="27" xfId="0" applyFont="1" applyFill="1" applyBorder="1" applyAlignment="1" applyProtection="1">
      <alignment horizontal="center" vertical="center" wrapText="1"/>
    </xf>
    <xf numFmtId="4" fontId="112" fillId="68" borderId="27" xfId="0" applyNumberFormat="1" applyFont="1" applyFill="1" applyBorder="1" applyAlignment="1" applyProtection="1">
      <alignment horizontal="center" vertical="center" wrapText="1"/>
    </xf>
    <xf numFmtId="0" fontId="121" fillId="68" borderId="27" xfId="0" applyFont="1" applyFill="1" applyBorder="1" applyAlignment="1" applyProtection="1">
      <alignment horizontal="center" vertical="center" wrapText="1"/>
    </xf>
    <xf numFmtId="0" fontId="99" fillId="0" borderId="29" xfId="0" applyFont="1" applyFill="1" applyBorder="1" applyAlignment="1" applyProtection="1">
      <alignment horizontal="center" vertical="center" wrapText="1"/>
    </xf>
    <xf numFmtId="0" fontId="99" fillId="0" borderId="27" xfId="0" applyFont="1" applyFill="1" applyBorder="1" applyAlignment="1" applyProtection="1">
      <alignment horizontal="center" vertical="center" wrapText="1"/>
    </xf>
    <xf numFmtId="0" fontId="100" fillId="0" borderId="27" xfId="0" applyFont="1" applyFill="1" applyBorder="1" applyAlignment="1" applyProtection="1">
      <alignment horizontal="center" vertical="center" wrapText="1"/>
    </xf>
    <xf numFmtId="3" fontId="100" fillId="0" borderId="27" xfId="0" applyNumberFormat="1" applyFont="1" applyFill="1" applyBorder="1" applyAlignment="1" applyProtection="1">
      <alignment horizontal="center" vertical="center" wrapText="1"/>
    </xf>
    <xf numFmtId="0" fontId="104" fillId="69" borderId="36" xfId="9" applyFont="1" applyFill="1" applyBorder="1" applyAlignment="1" applyProtection="1">
      <alignment horizontal="center" vertical="center" wrapText="1"/>
    </xf>
    <xf numFmtId="0" fontId="86" fillId="70" borderId="32" xfId="0" applyFont="1" applyFill="1" applyBorder="1" applyAlignment="1" applyProtection="1">
      <alignment horizontal="center" vertical="center"/>
    </xf>
    <xf numFmtId="0" fontId="102" fillId="70" borderId="32" xfId="0" applyFont="1" applyFill="1" applyBorder="1" applyAlignment="1" applyProtection="1">
      <alignment horizontal="center" vertical="center" wrapText="1"/>
    </xf>
    <xf numFmtId="0" fontId="100" fillId="70" borderId="32" xfId="0" applyFont="1" applyFill="1" applyBorder="1" applyAlignment="1" applyProtection="1">
      <alignment horizontal="center" vertical="center" wrapText="1"/>
    </xf>
    <xf numFmtId="4" fontId="102" fillId="70" borderId="32" xfId="0" applyNumberFormat="1" applyFont="1" applyFill="1" applyBorder="1" applyAlignment="1" applyProtection="1">
      <alignment horizontal="center" vertical="center" wrapText="1"/>
    </xf>
    <xf numFmtId="0" fontId="86" fillId="70" borderId="33" xfId="0" applyFont="1" applyFill="1" applyBorder="1" applyAlignment="1" applyProtection="1">
      <alignment horizontal="center" vertical="center" wrapText="1"/>
    </xf>
    <xf numFmtId="0" fontId="88" fillId="70" borderId="32" xfId="0" applyFont="1" applyFill="1" applyBorder="1" applyAlignment="1" applyProtection="1">
      <alignment vertical="center"/>
    </xf>
    <xf numFmtId="0" fontId="122" fillId="0" borderId="27" xfId="0" applyFont="1" applyFill="1" applyBorder="1" applyAlignment="1" applyProtection="1">
      <alignment horizontal="justify" vertical="center" wrapText="1"/>
    </xf>
    <xf numFmtId="0" fontId="85" fillId="71" borderId="27" xfId="762" applyFont="1" applyFill="1" applyBorder="1" applyAlignment="1" applyProtection="1">
      <alignment horizontal="center" vertical="center" wrapText="1"/>
    </xf>
    <xf numFmtId="0" fontId="84" fillId="71" borderId="27" xfId="762" applyFont="1" applyFill="1" applyBorder="1" applyAlignment="1" applyProtection="1">
      <alignment horizontal="justify" vertical="center" wrapText="1"/>
    </xf>
    <xf numFmtId="0" fontId="85" fillId="71" borderId="27" xfId="762" applyFont="1" applyFill="1" applyBorder="1" applyAlignment="1" applyProtection="1">
      <alignment horizontal="justify" vertical="center" wrapText="1"/>
    </xf>
    <xf numFmtId="0" fontId="85" fillId="71" borderId="27" xfId="762" applyFont="1" applyFill="1" applyBorder="1" applyAlignment="1" applyProtection="1">
      <alignment horizontal="right" vertical="center" wrapText="1" indent="1"/>
    </xf>
    <xf numFmtId="0" fontId="102" fillId="71" borderId="29" xfId="762" applyFont="1" applyFill="1" applyBorder="1" applyAlignment="1" applyProtection="1">
      <alignment horizontal="right" vertical="center" wrapText="1" indent="1"/>
    </xf>
    <xf numFmtId="0" fontId="100" fillId="71" borderId="29" xfId="762" applyFont="1" applyFill="1" applyBorder="1" applyAlignment="1" applyProtection="1">
      <alignment horizontal="right" vertical="center" wrapText="1" indent="1"/>
    </xf>
    <xf numFmtId="4" fontId="102" fillId="71" borderId="29" xfId="762" applyNumberFormat="1" applyFont="1" applyFill="1" applyBorder="1" applyAlignment="1" applyProtection="1">
      <alignment horizontal="center" vertical="center" wrapText="1"/>
    </xf>
    <xf numFmtId="0" fontId="93" fillId="0" borderId="27" xfId="762" applyFont="1" applyFill="1" applyBorder="1" applyAlignment="1" applyProtection="1">
      <alignment horizontal="justify" vertical="center" wrapText="1"/>
    </xf>
    <xf numFmtId="49" fontId="90" fillId="0" borderId="27" xfId="0" applyNumberFormat="1" applyFont="1" applyFill="1" applyBorder="1" applyAlignment="1" applyProtection="1">
      <alignment horizontal="right" vertical="center" wrapText="1"/>
    </xf>
    <xf numFmtId="0" fontId="90" fillId="0" borderId="31" xfId="0" applyFont="1" applyFill="1" applyBorder="1" applyAlignment="1" applyProtection="1">
      <alignment horizontal="center" vertical="center" wrapText="1"/>
    </xf>
    <xf numFmtId="4" fontId="102" fillId="0" borderId="27" xfId="0" applyNumberFormat="1" applyFont="1" applyFill="1" applyBorder="1" applyAlignment="1" applyProtection="1">
      <alignment horizontal="right" vertical="center" wrapText="1" indent="1"/>
    </xf>
    <xf numFmtId="4" fontId="100" fillId="72" borderId="27" xfId="8" applyNumberFormat="1" applyFont="1" applyFill="1" applyBorder="1" applyAlignment="1" applyProtection="1">
      <alignment horizontal="right" vertical="center" wrapText="1" indent="1"/>
    </xf>
    <xf numFmtId="4" fontId="102" fillId="0" borderId="27" xfId="0" applyNumberFormat="1" applyFont="1" applyFill="1" applyBorder="1" applyAlignment="1" applyProtection="1">
      <alignment horizontal="center" vertical="center" wrapText="1"/>
    </xf>
    <xf numFmtId="4" fontId="90" fillId="0" borderId="33" xfId="0" applyNumberFormat="1" applyFont="1" applyFill="1" applyBorder="1" applyAlignment="1" applyProtection="1">
      <alignment horizontal="justify" vertical="center" wrapText="1"/>
    </xf>
    <xf numFmtId="0" fontId="84" fillId="71" borderId="27" xfId="762" applyFont="1" applyFill="1" applyBorder="1" applyAlignment="1" applyProtection="1">
      <alignment horizontal="right" vertical="center" wrapText="1" indent="1"/>
    </xf>
    <xf numFmtId="0" fontId="102" fillId="71" borderId="47" xfId="762" applyFont="1" applyFill="1" applyBorder="1" applyAlignment="1" applyProtection="1">
      <alignment horizontal="right" vertical="center" wrapText="1" indent="1"/>
    </xf>
    <xf numFmtId="0" fontId="100" fillId="71" borderId="47" xfId="762" applyFont="1" applyFill="1" applyBorder="1" applyAlignment="1" applyProtection="1">
      <alignment horizontal="right" vertical="center" wrapText="1" indent="1"/>
    </xf>
    <xf numFmtId="4" fontId="102" fillId="71" borderId="47" xfId="762" applyNumberFormat="1" applyFont="1" applyFill="1" applyBorder="1" applyAlignment="1" applyProtection="1">
      <alignment horizontal="center" vertical="center" wrapText="1"/>
    </xf>
    <xf numFmtId="49" fontId="90" fillId="0" borderId="27" xfId="0" applyNumberFormat="1" applyFont="1" applyFill="1" applyBorder="1" applyAlignment="1" applyProtection="1">
      <alignment horizontal="right" vertical="center" wrapText="1" indent="2"/>
    </xf>
    <xf numFmtId="0" fontId="86" fillId="0" borderId="27" xfId="0" applyFont="1" applyFill="1" applyBorder="1" applyAlignment="1" applyProtection="1">
      <alignment horizontal="justify" vertical="center" wrapText="1"/>
    </xf>
    <xf numFmtId="4" fontId="93" fillId="0" borderId="33" xfId="0" applyNumberFormat="1" applyFont="1" applyFill="1" applyBorder="1" applyAlignment="1" applyProtection="1">
      <alignment horizontal="justify" vertical="center" wrapText="1"/>
    </xf>
    <xf numFmtId="0" fontId="88" fillId="70" borderId="32" xfId="0" applyFont="1" applyFill="1" applyBorder="1" applyAlignment="1" applyProtection="1">
      <alignment vertical="center" wrapText="1"/>
    </xf>
    <xf numFmtId="0" fontId="102" fillId="70" borderId="34" xfId="0" applyFont="1" applyFill="1" applyBorder="1" applyAlignment="1" applyProtection="1">
      <alignment vertical="center" wrapText="1"/>
    </xf>
    <xf numFmtId="0" fontId="100" fillId="70" borderId="34" xfId="0" applyFont="1" applyFill="1" applyBorder="1" applyAlignment="1" applyProtection="1">
      <alignment vertical="center" wrapText="1"/>
    </xf>
    <xf numFmtId="4" fontId="102" fillId="70" borderId="35" xfId="0" applyNumberFormat="1" applyFont="1" applyFill="1" applyBorder="1" applyAlignment="1" applyProtection="1">
      <alignment horizontal="center" vertical="center" wrapText="1"/>
    </xf>
    <xf numFmtId="49" fontId="86" fillId="0" borderId="27" xfId="0" applyNumberFormat="1" applyFont="1" applyFill="1" applyBorder="1" applyAlignment="1" applyProtection="1">
      <alignment horizontal="center" vertical="center"/>
    </xf>
    <xf numFmtId="49" fontId="86" fillId="0" borderId="27" xfId="0" applyNumberFormat="1" applyFont="1" applyFill="1" applyBorder="1" applyAlignment="1" applyProtection="1">
      <alignment horizontal="justify" vertical="center" wrapText="1"/>
    </xf>
    <xf numFmtId="0" fontId="86" fillId="0" borderId="31" xfId="0" applyFont="1" applyFill="1" applyBorder="1" applyAlignment="1" applyProtection="1">
      <alignment horizontal="center" vertical="center" wrapText="1"/>
    </xf>
    <xf numFmtId="4" fontId="100" fillId="0" borderId="27" xfId="8" applyNumberFormat="1" applyFont="1" applyFill="1" applyBorder="1" applyAlignment="1" applyProtection="1">
      <alignment horizontal="right" vertical="center" wrapText="1" indent="1"/>
    </xf>
    <xf numFmtId="4" fontId="93" fillId="0" borderId="27" xfId="0" applyNumberFormat="1" applyFont="1" applyBorder="1" applyAlignment="1" applyProtection="1">
      <alignment horizontal="justify" vertical="center" wrapText="1"/>
    </xf>
    <xf numFmtId="49" fontId="86" fillId="0" borderId="27" xfId="0" applyNumberFormat="1" applyFont="1" applyFill="1" applyBorder="1" applyAlignment="1" applyProtection="1">
      <alignment horizontal="right" vertical="center" wrapText="1" indent="2"/>
    </xf>
    <xf numFmtId="49" fontId="86" fillId="0" borderId="27" xfId="0" applyNumberFormat="1" applyFont="1" applyFill="1" applyBorder="1" applyAlignment="1" applyProtection="1">
      <alignment horizontal="left" vertical="center" wrapText="1" indent="1"/>
    </xf>
    <xf numFmtId="4" fontId="90" fillId="0" borderId="27" xfId="0" applyNumberFormat="1" applyFont="1" applyFill="1" applyBorder="1" applyAlignment="1" applyProtection="1">
      <alignment horizontal="left" vertical="center" wrapText="1" indent="1"/>
    </xf>
    <xf numFmtId="0" fontId="104" fillId="69" borderId="31" xfId="9" applyFont="1" applyFill="1" applyBorder="1" applyAlignment="1" applyProtection="1">
      <alignment horizontal="center" vertical="center" wrapText="1"/>
    </xf>
    <xf numFmtId="0" fontId="86" fillId="70" borderId="32" xfId="0" applyFont="1" applyFill="1" applyBorder="1" applyAlignment="1" applyProtection="1">
      <alignment horizontal="center" vertical="center" wrapText="1"/>
    </xf>
    <xf numFmtId="4" fontId="102" fillId="70" borderId="32" xfId="0" applyNumberFormat="1" applyFont="1" applyFill="1" applyBorder="1" applyAlignment="1" applyProtection="1">
      <alignment horizontal="right" vertical="center" wrapText="1" indent="1"/>
    </xf>
    <xf numFmtId="4" fontId="100" fillId="70" borderId="32" xfId="8" applyNumberFormat="1" applyFont="1" applyFill="1" applyBorder="1" applyAlignment="1" applyProtection="1">
      <alignment horizontal="right" vertical="center" wrapText="1" indent="1"/>
    </xf>
    <xf numFmtId="4" fontId="90" fillId="70" borderId="33" xfId="0" applyNumberFormat="1" applyFont="1" applyFill="1" applyBorder="1" applyAlignment="1" applyProtection="1">
      <alignment horizontal="left" vertical="center" wrapText="1" indent="1"/>
    </xf>
    <xf numFmtId="0" fontId="102" fillId="70" borderId="32" xfId="0" applyFont="1" applyFill="1" applyBorder="1" applyAlignment="1" applyProtection="1">
      <alignment vertical="center" wrapText="1"/>
    </xf>
    <xf numFmtId="0" fontId="100" fillId="70" borderId="32" xfId="0" applyFont="1" applyFill="1" applyBorder="1" applyAlignment="1" applyProtection="1">
      <alignment vertical="center" wrapText="1"/>
    </xf>
    <xf numFmtId="4" fontId="102" fillId="70" borderId="33" xfId="0" applyNumberFormat="1" applyFont="1" applyFill="1" applyBorder="1" applyAlignment="1" applyProtection="1">
      <alignment horizontal="center" vertical="center" wrapText="1"/>
    </xf>
    <xf numFmtId="49" fontId="90" fillId="0" borderId="27" xfId="0" applyNumberFormat="1" applyFont="1" applyFill="1" applyBorder="1" applyAlignment="1" applyProtection="1">
      <alignment horizontal="center" vertical="center" wrapText="1"/>
    </xf>
    <xf numFmtId="0" fontId="90" fillId="0" borderId="27" xfId="0" applyFont="1" applyFill="1" applyBorder="1" applyAlignment="1" applyProtection="1">
      <alignment horizontal="justify" vertical="center" wrapText="1"/>
    </xf>
    <xf numFmtId="4" fontId="93" fillId="0" borderId="27" xfId="0" applyNumberFormat="1" applyFont="1" applyFill="1" applyBorder="1" applyAlignment="1" applyProtection="1">
      <alignment horizontal="justify" vertical="center" wrapText="1"/>
    </xf>
    <xf numFmtId="49" fontId="93" fillId="0" borderId="41" xfId="0" applyNumberFormat="1" applyFont="1" applyFill="1" applyBorder="1" applyAlignment="1" applyProtection="1">
      <alignment horizontal="left" vertical="center"/>
    </xf>
    <xf numFmtId="0" fontId="90" fillId="0" borderId="42" xfId="0" applyFont="1" applyFill="1" applyBorder="1" applyAlignment="1" applyProtection="1">
      <alignment horizontal="justify" vertical="center" wrapText="1"/>
    </xf>
    <xf numFmtId="0" fontId="90" fillId="0" borderId="42" xfId="0" applyFont="1" applyFill="1" applyBorder="1" applyAlignment="1" applyProtection="1">
      <alignment horizontal="center" vertical="center" wrapText="1"/>
    </xf>
    <xf numFmtId="4" fontId="102" fillId="0" borderId="42" xfId="0" applyNumberFormat="1" applyFont="1" applyFill="1" applyBorder="1" applyAlignment="1" applyProtection="1">
      <alignment horizontal="right" vertical="center" wrapText="1" indent="1"/>
    </xf>
    <xf numFmtId="4" fontId="100" fillId="0" borderId="42" xfId="0" applyNumberFormat="1" applyFont="1" applyFill="1" applyBorder="1" applyAlignment="1" applyProtection="1">
      <alignment horizontal="right" vertical="center" wrapText="1" indent="1"/>
    </xf>
    <xf numFmtId="4" fontId="102" fillId="0" borderId="42" xfId="0" applyNumberFormat="1" applyFont="1" applyFill="1" applyBorder="1" applyAlignment="1" applyProtection="1">
      <alignment horizontal="center" vertical="center" wrapText="1"/>
    </xf>
    <xf numFmtId="4" fontId="93" fillId="0" borderId="43" xfId="0" applyNumberFormat="1" applyFont="1" applyBorder="1" applyAlignment="1" applyProtection="1">
      <alignment horizontal="left" vertical="center" wrapText="1" indent="1"/>
    </xf>
    <xf numFmtId="49" fontId="95" fillId="0" borderId="0" xfId="0" applyNumberFormat="1" applyFont="1" applyFill="1" applyBorder="1" applyAlignment="1" applyProtection="1">
      <alignment horizontal="left" vertical="center"/>
    </xf>
    <xf numFmtId="0" fontId="90" fillId="0" borderId="0" xfId="0" applyFont="1" applyFill="1" applyBorder="1" applyAlignment="1" applyProtection="1">
      <alignment horizontal="justify" vertical="center" wrapText="1"/>
    </xf>
    <xf numFmtId="0" fontId="90" fillId="0" borderId="0" xfId="0" applyFont="1" applyFill="1" applyBorder="1" applyAlignment="1" applyProtection="1">
      <alignment horizontal="center" vertical="center" wrapText="1"/>
    </xf>
    <xf numFmtId="4" fontId="102" fillId="0" borderId="0" xfId="0" applyNumberFormat="1" applyFont="1" applyFill="1" applyBorder="1" applyAlignment="1" applyProtection="1">
      <alignment horizontal="right" vertical="center" wrapText="1" indent="1"/>
    </xf>
    <xf numFmtId="4" fontId="100" fillId="0" borderId="0" xfId="0" applyNumberFormat="1" applyFont="1" applyFill="1" applyBorder="1" applyAlignment="1" applyProtection="1">
      <alignment horizontal="right" vertical="center" wrapText="1" indent="1"/>
    </xf>
    <xf numFmtId="4" fontId="102" fillId="0" borderId="0" xfId="0" applyNumberFormat="1" applyFont="1" applyFill="1" applyBorder="1" applyAlignment="1" applyProtection="1">
      <alignment horizontal="center" vertical="center" wrapText="1"/>
    </xf>
    <xf numFmtId="4" fontId="93" fillId="0" borderId="45" xfId="0" applyNumberFormat="1" applyFont="1" applyBorder="1" applyAlignment="1" applyProtection="1">
      <alignment horizontal="left" vertical="center" wrapText="1" indent="1"/>
    </xf>
    <xf numFmtId="49" fontId="90" fillId="0" borderId="0" xfId="0" applyNumberFormat="1" applyFont="1" applyFill="1" applyBorder="1" applyAlignment="1" applyProtection="1">
      <alignment horizontal="left" vertical="center"/>
    </xf>
    <xf numFmtId="49" fontId="90" fillId="0" borderId="46" xfId="0" applyNumberFormat="1" applyFont="1" applyBorder="1" applyAlignment="1" applyProtection="1">
      <alignment horizontal="left" vertical="center" wrapText="1"/>
    </xf>
    <xf numFmtId="49" fontId="83" fillId="0" borderId="34" xfId="0" applyNumberFormat="1" applyFont="1" applyBorder="1" applyAlignment="1" applyProtection="1">
      <alignment horizontal="justify" vertical="center" wrapText="1"/>
    </xf>
    <xf numFmtId="49" fontId="83" fillId="0" borderId="34" xfId="0" applyNumberFormat="1" applyFont="1" applyBorder="1" applyAlignment="1" applyProtection="1">
      <alignment vertical="top" wrapText="1"/>
    </xf>
    <xf numFmtId="49" fontId="113" fillId="0" borderId="34" xfId="0" applyNumberFormat="1" applyFont="1" applyBorder="1" applyAlignment="1" applyProtection="1">
      <alignment vertical="top" wrapText="1"/>
    </xf>
    <xf numFmtId="49" fontId="115" fillId="0" borderId="34" xfId="0" applyNumberFormat="1" applyFont="1" applyBorder="1" applyAlignment="1" applyProtection="1">
      <alignment vertical="top" wrapText="1"/>
    </xf>
    <xf numFmtId="4" fontId="113" fillId="0" borderId="34" xfId="0" applyNumberFormat="1" applyFont="1" applyBorder="1" applyAlignment="1" applyProtection="1">
      <alignment horizontal="center" vertical="top" wrapText="1"/>
    </xf>
    <xf numFmtId="49" fontId="83" fillId="0" borderId="35" xfId="0" applyNumberFormat="1" applyFont="1" applyBorder="1" applyAlignment="1" applyProtection="1">
      <alignment vertical="top" wrapText="1"/>
    </xf>
    <xf numFmtId="0" fontId="104" fillId="69" borderId="27" xfId="9" applyFont="1" applyFill="1" applyBorder="1" applyAlignment="1" applyProtection="1">
      <alignment horizontal="center" vertical="center" wrapText="1"/>
    </xf>
    <xf numFmtId="0" fontId="103" fillId="70" borderId="27" xfId="0" applyFont="1" applyFill="1" applyBorder="1" applyAlignment="1" applyProtection="1">
      <alignment vertical="center"/>
    </xf>
    <xf numFmtId="0" fontId="82" fillId="70" borderId="27" xfId="0" applyFont="1" applyFill="1" applyBorder="1" applyAlignment="1" applyProtection="1">
      <alignment vertical="center" wrapText="1"/>
    </xf>
    <xf numFmtId="0" fontId="82" fillId="70" borderId="31" xfId="0" applyFont="1" applyFill="1" applyBorder="1" applyAlignment="1" applyProtection="1">
      <alignment vertical="center" wrapText="1"/>
    </xf>
    <xf numFmtId="0" fontId="114" fillId="70" borderId="37" xfId="0" applyFont="1" applyFill="1" applyBorder="1" applyAlignment="1" applyProtection="1">
      <alignment vertical="center" wrapText="1"/>
    </xf>
    <xf numFmtId="0" fontId="116" fillId="70" borderId="37" xfId="0" applyFont="1" applyFill="1" applyBorder="1" applyAlignment="1" applyProtection="1">
      <alignment vertical="center" wrapText="1"/>
    </xf>
    <xf numFmtId="4" fontId="114" fillId="70" borderId="33" xfId="0" applyNumberFormat="1" applyFont="1" applyFill="1" applyBorder="1" applyAlignment="1" applyProtection="1">
      <alignment horizontal="center" vertical="center" wrapText="1"/>
    </xf>
    <xf numFmtId="0" fontId="123" fillId="0" borderId="27" xfId="0" applyFont="1" applyFill="1" applyBorder="1" applyAlignment="1" applyProtection="1">
      <alignment vertical="center" wrapText="1"/>
    </xf>
    <xf numFmtId="49" fontId="85" fillId="71" borderId="27" xfId="9" applyNumberFormat="1" applyFont="1" applyFill="1" applyBorder="1" applyAlignment="1" applyProtection="1">
      <alignment horizontal="center" vertical="center" wrapText="1"/>
    </xf>
    <xf numFmtId="0" fontId="84" fillId="71" borderId="27" xfId="8" applyFont="1" applyFill="1" applyBorder="1" applyAlignment="1" applyProtection="1">
      <alignment horizontal="justify" vertical="center" wrapText="1"/>
    </xf>
    <xf numFmtId="0" fontId="86" fillId="71" borderId="27" xfId="8" applyFont="1" applyFill="1" applyBorder="1" applyAlignment="1" applyProtection="1">
      <alignment horizontal="justify" vertical="center" wrapText="1"/>
    </xf>
    <xf numFmtId="0" fontId="84" fillId="71" borderId="27" xfId="8" applyFont="1" applyFill="1" applyBorder="1" applyAlignment="1" applyProtection="1">
      <alignment horizontal="center" vertical="center" wrapText="1"/>
    </xf>
    <xf numFmtId="0" fontId="102" fillId="71" borderId="27" xfId="762" applyFont="1" applyFill="1" applyBorder="1" applyAlignment="1" applyProtection="1">
      <alignment horizontal="right" vertical="center" wrapText="1" indent="1"/>
    </xf>
    <xf numFmtId="4" fontId="100" fillId="71" borderId="27" xfId="8" applyNumberFormat="1" applyFont="1" applyFill="1" applyBorder="1" applyAlignment="1" applyProtection="1">
      <alignment horizontal="right" vertical="center" wrapText="1" indent="1"/>
    </xf>
    <xf numFmtId="4" fontId="102" fillId="71" borderId="27" xfId="762" applyNumberFormat="1" applyFont="1" applyFill="1" applyBorder="1" applyAlignment="1" applyProtection="1">
      <alignment horizontal="center" vertical="center" wrapText="1"/>
    </xf>
    <xf numFmtId="0" fontId="93" fillId="0" borderId="27" xfId="0" quotePrefix="1" applyFont="1" applyFill="1" applyBorder="1" applyAlignment="1" applyProtection="1">
      <alignment horizontal="justify" vertical="center" wrapText="1"/>
    </xf>
    <xf numFmtId="49" fontId="86" fillId="0" borderId="27" xfId="9" applyNumberFormat="1" applyFont="1" applyFill="1" applyBorder="1" applyAlignment="1" applyProtection="1">
      <alignment horizontal="right" vertical="center" wrapText="1"/>
    </xf>
    <xf numFmtId="0" fontId="86" fillId="0" borderId="27" xfId="8" applyFont="1" applyFill="1" applyBorder="1" applyAlignment="1" applyProtection="1">
      <alignment horizontal="right" vertical="center" wrapText="1" indent="3"/>
    </xf>
    <xf numFmtId="0" fontId="86" fillId="0" borderId="27" xfId="8" applyFont="1" applyFill="1" applyBorder="1" applyAlignment="1" applyProtection="1">
      <alignment horizontal="left" vertical="center" wrapText="1" indent="1"/>
    </xf>
    <xf numFmtId="0" fontId="125" fillId="0" borderId="27" xfId="8" applyFont="1" applyFill="1" applyBorder="1" applyAlignment="1" applyProtection="1">
      <alignment horizontal="center" vertical="center" wrapText="1"/>
    </xf>
    <xf numFmtId="4" fontId="127" fillId="0" borderId="27" xfId="762" applyNumberFormat="1" applyFont="1" applyFill="1" applyBorder="1" applyAlignment="1" applyProtection="1">
      <alignment horizontal="right" vertical="center" wrapText="1" indent="1"/>
    </xf>
    <xf numFmtId="4" fontId="127" fillId="0" borderId="27" xfId="762" applyNumberFormat="1" applyFont="1" applyFill="1" applyBorder="1" applyAlignment="1" applyProtection="1">
      <alignment horizontal="center" vertical="center" wrapText="1"/>
    </xf>
    <xf numFmtId="4" fontId="100" fillId="0" borderId="27" xfId="762" applyNumberFormat="1" applyFont="1" applyFill="1" applyBorder="1" applyAlignment="1" applyProtection="1">
      <alignment horizontal="right" vertical="center" wrapText="1" indent="1"/>
    </xf>
    <xf numFmtId="4" fontId="102" fillId="71" borderId="27" xfId="762" applyNumberFormat="1" applyFont="1" applyFill="1" applyBorder="1" applyAlignment="1" applyProtection="1">
      <alignment horizontal="right" vertical="center" wrapText="1" indent="1"/>
    </xf>
    <xf numFmtId="49" fontId="84" fillId="0" borderId="27" xfId="9" applyNumberFormat="1" applyFont="1" applyFill="1" applyBorder="1" applyAlignment="1" applyProtection="1">
      <alignment horizontal="center" vertical="center" wrapText="1"/>
    </xf>
    <xf numFmtId="0" fontId="126" fillId="0" borderId="27" xfId="8" applyFont="1" applyFill="1" applyBorder="1" applyAlignment="1" applyProtection="1">
      <alignment horizontal="center" vertical="center" wrapText="1"/>
    </xf>
    <xf numFmtId="0" fontId="84" fillId="0" borderId="27" xfId="8" applyFont="1" applyBorder="1" applyAlignment="1" applyProtection="1">
      <alignment horizontal="left" vertical="center" wrapText="1" indent="1"/>
    </xf>
    <xf numFmtId="4" fontId="100" fillId="71" borderId="27" xfId="762" applyNumberFormat="1" applyFont="1" applyFill="1" applyBorder="1" applyAlignment="1" applyProtection="1">
      <alignment horizontal="right" vertical="center" wrapText="1" indent="1"/>
    </xf>
    <xf numFmtId="49" fontId="86" fillId="0" borderId="27" xfId="9" applyNumberFormat="1" applyFont="1" applyFill="1" applyBorder="1" applyAlignment="1" applyProtection="1">
      <alignment horizontal="center" vertical="center" wrapText="1"/>
    </xf>
    <xf numFmtId="0" fontId="86" fillId="0" borderId="27" xfId="8" applyFont="1" applyFill="1" applyBorder="1" applyAlignment="1" applyProtection="1">
      <alignment horizontal="justify" vertical="center" wrapText="1"/>
    </xf>
    <xf numFmtId="49" fontId="84" fillId="71" borderId="27" xfId="9" applyNumberFormat="1" applyFont="1" applyFill="1" applyBorder="1" applyAlignment="1" applyProtection="1">
      <alignment horizontal="center" vertical="center" wrapText="1"/>
    </xf>
    <xf numFmtId="0" fontId="84" fillId="71" borderId="27" xfId="8" applyFont="1" applyFill="1" applyBorder="1" applyAlignment="1" applyProtection="1">
      <alignment horizontal="center" wrapText="1"/>
    </xf>
    <xf numFmtId="0" fontId="102" fillId="71" borderId="27" xfId="8" applyFont="1" applyFill="1" applyBorder="1" applyAlignment="1" applyProtection="1">
      <alignment wrapText="1"/>
    </xf>
    <xf numFmtId="0" fontId="100" fillId="71" borderId="27" xfId="8" applyFont="1" applyFill="1" applyBorder="1" applyAlignment="1" applyProtection="1">
      <alignment wrapText="1"/>
    </xf>
    <xf numFmtId="4" fontId="102" fillId="71" borderId="27" xfId="8" applyNumberFormat="1" applyFont="1" applyFill="1" applyBorder="1" applyAlignment="1" applyProtection="1">
      <alignment horizontal="center" wrapText="1"/>
    </xf>
    <xf numFmtId="0" fontId="84" fillId="0" borderId="27" xfId="8" applyFont="1" applyBorder="1" applyAlignment="1" applyProtection="1">
      <alignment horizontal="left" wrapText="1" indent="1"/>
    </xf>
    <xf numFmtId="0" fontId="84" fillId="0" borderId="27" xfId="8" applyFont="1" applyFill="1" applyBorder="1" applyAlignment="1" applyProtection="1">
      <alignment horizontal="center" vertical="center" wrapText="1"/>
    </xf>
    <xf numFmtId="4" fontId="102" fillId="0" borderId="27" xfId="762" applyNumberFormat="1" applyFont="1" applyFill="1" applyBorder="1" applyAlignment="1" applyProtection="1">
      <alignment horizontal="right" vertical="center" wrapText="1" indent="1"/>
    </xf>
    <xf numFmtId="4" fontId="102" fillId="0" borderId="27" xfId="762" applyNumberFormat="1" applyFont="1" applyFill="1" applyBorder="1" applyAlignment="1" applyProtection="1">
      <alignment horizontal="center" vertical="center" wrapText="1"/>
    </xf>
    <xf numFmtId="4" fontId="84" fillId="0" borderId="27" xfId="0" applyNumberFormat="1" applyFont="1" applyBorder="1" applyAlignment="1" applyProtection="1">
      <alignment horizontal="justify" vertical="center" wrapText="1"/>
    </xf>
    <xf numFmtId="0" fontId="100" fillId="71" borderId="27" xfId="0" applyFont="1" applyFill="1" applyBorder="1" applyAlignment="1" applyProtection="1">
      <alignment horizontal="center" vertical="center" wrapText="1"/>
    </xf>
    <xf numFmtId="4" fontId="84" fillId="0" borderId="27" xfId="0" applyNumberFormat="1" applyFont="1" applyFill="1" applyBorder="1" applyAlignment="1" applyProtection="1">
      <alignment horizontal="justify" vertical="center" wrapText="1"/>
    </xf>
    <xf numFmtId="0" fontId="84" fillId="71" borderId="27" xfId="8" applyFont="1" applyFill="1" applyBorder="1" applyAlignment="1" applyProtection="1">
      <alignment horizontal="left" vertical="center" wrapText="1" indent="1"/>
    </xf>
    <xf numFmtId="4" fontId="102" fillId="71" borderId="27" xfId="8" applyNumberFormat="1" applyFont="1" applyFill="1" applyBorder="1" applyAlignment="1" applyProtection="1">
      <alignment horizontal="center" vertical="center" wrapText="1"/>
    </xf>
    <xf numFmtId="0" fontId="86" fillId="0" borderId="27" xfId="0" applyFont="1" applyBorder="1" applyAlignment="1" applyProtection="1">
      <alignment horizontal="justify" vertical="center" wrapText="1"/>
    </xf>
    <xf numFmtId="49" fontId="84" fillId="0" borderId="42" xfId="9" applyNumberFormat="1" applyFont="1" applyFill="1" applyBorder="1" applyAlignment="1" applyProtection="1">
      <alignment horizontal="center" vertical="center" wrapText="1"/>
    </xf>
    <xf numFmtId="0" fontId="84" fillId="0" borderId="42" xfId="8" applyFont="1" applyBorder="1" applyAlignment="1" applyProtection="1">
      <alignment horizontal="left" vertical="center" wrapText="1" indent="1"/>
    </xf>
    <xf numFmtId="0" fontId="86" fillId="0" borderId="42" xfId="0" applyFont="1" applyBorder="1" applyAlignment="1" applyProtection="1">
      <alignment horizontal="justify" vertical="center" wrapText="1"/>
    </xf>
    <xf numFmtId="0" fontId="84" fillId="0" borderId="42" xfId="8" applyFont="1" applyFill="1" applyBorder="1" applyAlignment="1" applyProtection="1">
      <alignment horizontal="center" vertical="center" wrapText="1"/>
    </xf>
    <xf numFmtId="4" fontId="102" fillId="0" borderId="42" xfId="762" applyNumberFormat="1" applyFont="1" applyFill="1" applyBorder="1" applyAlignment="1" applyProtection="1">
      <alignment horizontal="right" vertical="center" wrapText="1" indent="1"/>
    </xf>
    <xf numFmtId="4" fontId="100" fillId="0" borderId="42" xfId="762" applyNumberFormat="1" applyFont="1" applyFill="1" applyBorder="1" applyAlignment="1" applyProtection="1">
      <alignment horizontal="right" vertical="center" wrapText="1" indent="1"/>
    </xf>
    <xf numFmtId="4" fontId="102" fillId="0" borderId="42" xfId="762" applyNumberFormat="1" applyFont="1" applyFill="1" applyBorder="1" applyAlignment="1" applyProtection="1">
      <alignment horizontal="center" vertical="center" wrapText="1"/>
    </xf>
    <xf numFmtId="4" fontId="93" fillId="0" borderId="43" xfId="0" applyNumberFormat="1" applyFont="1" applyBorder="1" applyAlignment="1" applyProtection="1">
      <alignment horizontal="justify" vertical="center" wrapText="1"/>
    </xf>
    <xf numFmtId="49" fontId="93" fillId="0" borderId="0" xfId="9" applyNumberFormat="1" applyFont="1" applyFill="1" applyBorder="1" applyAlignment="1" applyProtection="1">
      <alignment horizontal="left" vertical="center"/>
    </xf>
    <xf numFmtId="0" fontId="84" fillId="0" borderId="0" xfId="8" applyFont="1" applyBorder="1" applyAlignment="1" applyProtection="1">
      <alignment horizontal="left" vertical="center" wrapText="1" indent="1"/>
    </xf>
    <xf numFmtId="0" fontId="86" fillId="0" borderId="0" xfId="0" applyFont="1" applyBorder="1" applyAlignment="1" applyProtection="1">
      <alignment horizontal="justify" vertical="center" wrapText="1"/>
    </xf>
    <xf numFmtId="0" fontId="84" fillId="0" borderId="0" xfId="8" applyFont="1" applyFill="1" applyBorder="1" applyAlignment="1" applyProtection="1">
      <alignment horizontal="center" vertical="center" wrapText="1"/>
    </xf>
    <xf numFmtId="4" fontId="102" fillId="0" borderId="0" xfId="762" applyNumberFormat="1" applyFont="1" applyFill="1" applyBorder="1" applyAlignment="1" applyProtection="1">
      <alignment horizontal="right" vertical="center" wrapText="1" indent="1"/>
    </xf>
    <xf numFmtId="4" fontId="100" fillId="0" borderId="0" xfId="762" applyNumberFormat="1" applyFont="1" applyFill="1" applyBorder="1" applyAlignment="1" applyProtection="1">
      <alignment horizontal="right" vertical="center" wrapText="1" indent="1"/>
    </xf>
    <xf numFmtId="4" fontId="102" fillId="0" borderId="0" xfId="762" applyNumberFormat="1" applyFont="1" applyFill="1" applyBorder="1" applyAlignment="1" applyProtection="1">
      <alignment horizontal="center" vertical="center" wrapText="1"/>
    </xf>
    <xf numFmtId="4" fontId="93" fillId="0" borderId="45" xfId="0" applyNumberFormat="1" applyFont="1" applyBorder="1" applyAlignment="1" applyProtection="1">
      <alignment horizontal="justify" vertical="center" wrapText="1"/>
    </xf>
    <xf numFmtId="49" fontId="84" fillId="0" borderId="0" xfId="9" applyNumberFormat="1" applyFont="1" applyFill="1" applyBorder="1" applyAlignment="1" applyProtection="1">
      <alignment horizontal="left" vertical="center"/>
    </xf>
    <xf numFmtId="49" fontId="84" fillId="0" borderId="34" xfId="9" applyNumberFormat="1" applyFont="1" applyFill="1" applyBorder="1" applyAlignment="1" applyProtection="1">
      <alignment horizontal="center" vertical="center" wrapText="1"/>
    </xf>
    <xf numFmtId="0" fontId="84" fillId="0" borderId="34" xfId="8" applyFont="1" applyBorder="1" applyAlignment="1" applyProtection="1">
      <alignment horizontal="left" vertical="center" wrapText="1" indent="1"/>
    </xf>
    <xf numFmtId="0" fontId="86" fillId="0" borderId="34" xfId="0" applyFont="1" applyBorder="1" applyAlignment="1" applyProtection="1">
      <alignment horizontal="justify" vertical="center" wrapText="1"/>
    </xf>
    <xf numFmtId="0" fontId="84" fillId="0" borderId="34" xfId="8" applyFont="1" applyFill="1" applyBorder="1" applyAlignment="1" applyProtection="1">
      <alignment horizontal="center" vertical="center" wrapText="1"/>
    </xf>
    <xf numFmtId="4" fontId="102" fillId="0" borderId="34" xfId="762" applyNumberFormat="1" applyFont="1" applyFill="1" applyBorder="1" applyAlignment="1" applyProtection="1">
      <alignment horizontal="right" vertical="center" wrapText="1" indent="1"/>
    </xf>
    <xf numFmtId="4" fontId="100" fillId="0" borderId="34" xfId="762" applyNumberFormat="1" applyFont="1" applyFill="1" applyBorder="1" applyAlignment="1" applyProtection="1">
      <alignment horizontal="right" vertical="center" wrapText="1" indent="1"/>
    </xf>
    <xf numFmtId="4" fontId="102" fillId="0" borderId="34" xfId="762" applyNumberFormat="1" applyFont="1" applyFill="1" applyBorder="1" applyAlignment="1" applyProtection="1">
      <alignment horizontal="center" vertical="center" wrapText="1"/>
    </xf>
    <xf numFmtId="4" fontId="93" fillId="0" borderId="35" xfId="0" applyNumberFormat="1" applyFont="1" applyBorder="1" applyAlignment="1" applyProtection="1">
      <alignment horizontal="justify" vertical="center" wrapText="1"/>
    </xf>
    <xf numFmtId="0" fontId="101" fillId="70" borderId="31" xfId="9" applyFont="1" applyFill="1" applyBorder="1" applyAlignment="1" applyProtection="1">
      <alignment vertical="center"/>
    </xf>
    <xf numFmtId="0" fontId="101" fillId="70" borderId="33" xfId="9" applyFont="1" applyFill="1" applyBorder="1" applyAlignment="1" applyProtection="1">
      <alignment vertical="center"/>
    </xf>
    <xf numFmtId="0" fontId="85" fillId="70" borderId="27" xfId="9" applyFont="1" applyFill="1" applyBorder="1" applyAlignment="1" applyProtection="1">
      <alignment vertical="center" wrapText="1"/>
    </xf>
    <xf numFmtId="0" fontId="102" fillId="70" borderId="31" xfId="9" applyFont="1" applyFill="1" applyBorder="1" applyAlignment="1" applyProtection="1">
      <alignment vertical="center" wrapText="1"/>
    </xf>
    <xf numFmtId="0" fontId="100" fillId="70" borderId="32" xfId="9" applyFont="1" applyFill="1" applyBorder="1" applyAlignment="1" applyProtection="1">
      <alignment vertical="center" wrapText="1"/>
    </xf>
    <xf numFmtId="4" fontId="102" fillId="70" borderId="32" xfId="9" applyNumberFormat="1" applyFont="1" applyFill="1" applyBorder="1" applyAlignment="1" applyProtection="1">
      <alignment horizontal="center" vertical="center" wrapText="1"/>
    </xf>
    <xf numFmtId="0" fontId="84" fillId="70" borderId="33" xfId="9" applyFont="1" applyFill="1" applyBorder="1" applyAlignment="1" applyProtection="1">
      <alignment vertical="center" wrapText="1"/>
    </xf>
    <xf numFmtId="0" fontId="89" fillId="70" borderId="32" xfId="0" applyFont="1" applyFill="1" applyBorder="1" applyAlignment="1" applyProtection="1">
      <alignment vertical="center" wrapText="1"/>
    </xf>
    <xf numFmtId="0" fontId="100" fillId="70" borderId="40" xfId="0" applyFont="1" applyFill="1" applyBorder="1" applyAlignment="1" applyProtection="1">
      <alignment vertical="center" wrapText="1"/>
    </xf>
    <xf numFmtId="0" fontId="90" fillId="0" borderId="27" xfId="0" applyFont="1" applyFill="1" applyBorder="1" applyAlignment="1" applyProtection="1">
      <alignment vertical="center" wrapText="1"/>
    </xf>
    <xf numFmtId="49" fontId="84" fillId="0" borderId="27" xfId="9" applyNumberFormat="1" applyFont="1" applyFill="1" applyBorder="1" applyAlignment="1" applyProtection="1">
      <alignment horizontal="center" vertical="center"/>
    </xf>
    <xf numFmtId="0" fontId="86" fillId="0" borderId="27" xfId="0" applyFont="1" applyBorder="1" applyAlignment="1" applyProtection="1">
      <alignment horizontal="left" vertical="center" indent="1"/>
    </xf>
    <xf numFmtId="0" fontId="86" fillId="0" borderId="27" xfId="0" applyFont="1" applyBorder="1" applyAlignment="1" applyProtection="1">
      <alignment horizontal="center" vertical="center" wrapText="1"/>
    </xf>
    <xf numFmtId="4" fontId="102" fillId="0" borderId="27" xfId="8" applyNumberFormat="1" applyFont="1" applyFill="1" applyBorder="1" applyAlignment="1" applyProtection="1">
      <alignment horizontal="right" vertical="center" wrapText="1" indent="1"/>
    </xf>
    <xf numFmtId="4" fontId="102" fillId="0" borderId="27" xfId="8" applyNumberFormat="1" applyFont="1" applyFill="1" applyBorder="1" applyAlignment="1" applyProtection="1">
      <alignment horizontal="center" vertical="center" wrapText="1"/>
    </xf>
    <xf numFmtId="0" fontId="91" fillId="0" borderId="27" xfId="0" applyFont="1" applyBorder="1" applyAlignment="1" applyProtection="1">
      <alignment horizontal="left" vertical="center" wrapText="1" indent="1"/>
    </xf>
    <xf numFmtId="0" fontId="84" fillId="0" borderId="27" xfId="8" applyFont="1" applyFill="1" applyBorder="1" applyAlignment="1" applyProtection="1">
      <alignment horizontal="justify" vertical="center" wrapText="1"/>
    </xf>
    <xf numFmtId="4" fontId="102" fillId="0" borderId="27" xfId="762" applyNumberFormat="1" applyFont="1" applyFill="1" applyBorder="1" applyAlignment="1" applyProtection="1">
      <alignment horizontal="right" vertical="center" wrapText="1"/>
    </xf>
    <xf numFmtId="0" fontId="86" fillId="71" borderId="27" xfId="0" applyFont="1" applyFill="1" applyBorder="1" applyAlignment="1" applyProtection="1">
      <alignment horizontal="justify" vertical="center" wrapText="1"/>
    </xf>
    <xf numFmtId="0" fontId="86" fillId="71" borderId="27" xfId="0" applyFont="1" applyFill="1" applyBorder="1" applyAlignment="1" applyProtection="1">
      <alignment horizontal="center" vertical="center" wrapText="1"/>
    </xf>
    <xf numFmtId="0" fontId="102" fillId="71" borderId="27" xfId="0" applyFont="1" applyFill="1" applyBorder="1" applyAlignment="1" applyProtection="1">
      <alignment horizontal="center"/>
    </xf>
    <xf numFmtId="0" fontId="100" fillId="71" borderId="27" xfId="0" applyFont="1" applyFill="1" applyBorder="1" applyAlignment="1" applyProtection="1">
      <alignment horizontal="center"/>
    </xf>
    <xf numFmtId="4" fontId="102" fillId="71" borderId="27" xfId="0" applyNumberFormat="1" applyFont="1" applyFill="1" applyBorder="1" applyAlignment="1" applyProtection="1">
      <alignment horizontal="center"/>
    </xf>
    <xf numFmtId="0" fontId="86" fillId="0" borderId="27" xfId="0" quotePrefix="1" applyFont="1" applyFill="1" applyBorder="1" applyAlignment="1" applyProtection="1">
      <alignment horizontal="justify" vertical="center" wrapText="1"/>
    </xf>
    <xf numFmtId="0" fontId="86" fillId="0" borderId="27" xfId="0" applyFont="1" applyBorder="1" applyAlignment="1" applyProtection="1">
      <alignment horizontal="right" vertical="center" wrapText="1" indent="2"/>
    </xf>
    <xf numFmtId="0" fontId="125" fillId="0" borderId="27" xfId="0" applyFont="1" applyBorder="1" applyAlignment="1" applyProtection="1">
      <alignment horizontal="center" vertical="center" wrapText="1"/>
    </xf>
    <xf numFmtId="4" fontId="127" fillId="0" borderId="27" xfId="8" applyNumberFormat="1" applyFont="1" applyFill="1" applyBorder="1" applyAlignment="1" applyProtection="1">
      <alignment horizontal="right" vertical="center" wrapText="1" indent="1"/>
    </xf>
    <xf numFmtId="4" fontId="127" fillId="0" borderId="27" xfId="8" applyNumberFormat="1" applyFont="1" applyFill="1" applyBorder="1" applyAlignment="1" applyProtection="1">
      <alignment horizontal="center" vertical="center" wrapText="1"/>
    </xf>
    <xf numFmtId="4" fontId="86" fillId="0" borderId="27" xfId="0" applyNumberFormat="1" applyFont="1" applyBorder="1" applyAlignment="1" applyProtection="1">
      <alignment horizontal="justify" vertical="center" wrapText="1"/>
    </xf>
    <xf numFmtId="0" fontId="93" fillId="0" borderId="27" xfId="0" applyFont="1" applyBorder="1" applyAlignment="1" applyProtection="1">
      <alignment horizontal="right" vertical="center" wrapText="1" indent="2"/>
    </xf>
    <xf numFmtId="4" fontId="100" fillId="71" borderId="27" xfId="8" applyNumberFormat="1" applyFont="1" applyFill="1" applyBorder="1" applyAlignment="1" applyProtection="1">
      <alignment horizontal="center" vertical="center" wrapText="1"/>
    </xf>
    <xf numFmtId="4" fontId="86" fillId="0" borderId="27" xfId="0" applyNumberFormat="1" applyFont="1" applyBorder="1" applyAlignment="1" applyProtection="1">
      <alignment horizontal="left" vertical="center" wrapText="1" indent="1"/>
    </xf>
    <xf numFmtId="0" fontId="86" fillId="0" borderId="27" xfId="0" applyFont="1" applyBorder="1" applyAlignment="1" applyProtection="1">
      <alignment horizontal="left" vertical="center" wrapText="1" indent="1"/>
    </xf>
    <xf numFmtId="43" fontId="86" fillId="0" borderId="27" xfId="3225" applyFont="1" applyBorder="1" applyAlignment="1" applyProtection="1">
      <alignment horizontal="justify" vertical="center" wrapText="1"/>
    </xf>
    <xf numFmtId="43" fontId="86" fillId="0" borderId="27" xfId="0" applyNumberFormat="1" applyFont="1" applyBorder="1" applyAlignment="1" applyProtection="1">
      <alignment horizontal="justify" vertical="center" wrapText="1"/>
    </xf>
    <xf numFmtId="0" fontId="86" fillId="0" borderId="27" xfId="0" applyFont="1" applyBorder="1" applyAlignment="1" applyProtection="1">
      <alignment horizontal="right" vertical="center" wrapText="1" indent="1"/>
    </xf>
    <xf numFmtId="0" fontId="93" fillId="0" borderId="27" xfId="0" applyFont="1" applyBorder="1" applyAlignment="1" applyProtection="1">
      <alignment horizontal="justify" vertical="center" wrapText="1"/>
    </xf>
    <xf numFmtId="4" fontId="102" fillId="71" borderId="27" xfId="8" applyNumberFormat="1" applyFont="1" applyFill="1" applyBorder="1" applyAlignment="1" applyProtection="1">
      <alignment horizontal="right" vertical="center" wrapText="1" indent="1"/>
    </xf>
    <xf numFmtId="0" fontId="93" fillId="0" borderId="27" xfId="0" applyFont="1" applyFill="1" applyBorder="1" applyAlignment="1" applyProtection="1">
      <alignment horizontal="justify" vertical="center" wrapText="1"/>
    </xf>
    <xf numFmtId="49" fontId="86" fillId="71" borderId="27" xfId="8" applyNumberFormat="1" applyFont="1" applyFill="1" applyBorder="1" applyAlignment="1" applyProtection="1">
      <alignment horizontal="center" vertical="center" wrapText="1"/>
    </xf>
    <xf numFmtId="0" fontId="84" fillId="0" borderId="27" xfId="0" applyFont="1" applyBorder="1" applyAlignment="1" applyProtection="1">
      <alignment horizontal="right" vertical="center" wrapText="1" indent="2"/>
    </xf>
    <xf numFmtId="49" fontId="86" fillId="71" borderId="27" xfId="0" applyNumberFormat="1" applyFont="1" applyFill="1" applyBorder="1" applyAlignment="1" applyProtection="1">
      <alignment horizontal="center" vertical="center"/>
    </xf>
    <xf numFmtId="49" fontId="84" fillId="0" borderId="27" xfId="0" applyNumberFormat="1" applyFont="1" applyFill="1" applyBorder="1" applyAlignment="1" applyProtection="1">
      <alignment horizontal="center" vertical="center" wrapText="1"/>
    </xf>
    <xf numFmtId="49" fontId="84" fillId="71" borderId="27" xfId="0" applyNumberFormat="1" applyFont="1" applyFill="1" applyBorder="1" applyAlignment="1" applyProtection="1">
      <alignment horizontal="center" vertical="center" wrapText="1"/>
    </xf>
    <xf numFmtId="0" fontId="86" fillId="0" borderId="27" xfId="0" applyFont="1" applyFill="1" applyBorder="1" applyAlignment="1" applyProtection="1">
      <alignment horizontal="right" vertical="center" wrapText="1" indent="2"/>
    </xf>
    <xf numFmtId="0" fontId="86" fillId="0" borderId="27" xfId="0" applyFont="1" applyFill="1" applyBorder="1" applyAlignment="1" applyProtection="1">
      <alignment horizontal="center" vertical="center" wrapText="1"/>
    </xf>
    <xf numFmtId="0" fontId="84" fillId="0" borderId="27" xfId="0" applyFont="1" applyFill="1" applyBorder="1" applyAlignment="1" applyProtection="1">
      <alignment horizontal="justify" vertical="center" wrapText="1"/>
    </xf>
    <xf numFmtId="0" fontId="84" fillId="0" borderId="27" xfId="0" applyFont="1" applyBorder="1" applyAlignment="1" applyProtection="1">
      <alignment horizontal="justify" vertical="center" wrapText="1"/>
    </xf>
    <xf numFmtId="0" fontId="84" fillId="0" borderId="27" xfId="0" applyFont="1" applyBorder="1" applyAlignment="1" applyProtection="1">
      <alignment horizontal="center" vertical="center" wrapText="1"/>
    </xf>
    <xf numFmtId="4" fontId="102" fillId="0" borderId="27" xfId="8" applyNumberFormat="1" applyFont="1" applyFill="1" applyBorder="1" applyAlignment="1" applyProtection="1">
      <alignment vertical="center" wrapText="1"/>
    </xf>
    <xf numFmtId="0" fontId="126" fillId="0" borderId="27" xfId="0" applyFont="1" applyBorder="1" applyAlignment="1" applyProtection="1">
      <alignment horizontal="center" vertical="center" wrapText="1"/>
    </xf>
    <xf numFmtId="4" fontId="102" fillId="0" borderId="27" xfId="0" applyNumberFormat="1" applyFont="1" applyBorder="1" applyAlignment="1" applyProtection="1">
      <alignment horizontal="center" vertical="center"/>
    </xf>
    <xf numFmtId="49" fontId="86" fillId="0" borderId="42" xfId="0" applyNumberFormat="1" applyFont="1" applyFill="1" applyBorder="1" applyAlignment="1" applyProtection="1">
      <alignment horizontal="center" vertical="center"/>
    </xf>
    <xf numFmtId="0" fontId="84" fillId="0" borderId="42" xfId="0" applyFont="1" applyBorder="1" applyAlignment="1" applyProtection="1">
      <alignment horizontal="right" vertical="center" wrapText="1" indent="2"/>
    </xf>
    <xf numFmtId="0" fontId="84" fillId="0" borderId="42" xfId="0" applyFont="1" applyBorder="1" applyAlignment="1" applyProtection="1">
      <alignment horizontal="justify" vertical="center" wrapText="1"/>
    </xf>
    <xf numFmtId="0" fontId="84" fillId="0" borderId="42" xfId="0" applyFont="1" applyBorder="1" applyAlignment="1" applyProtection="1">
      <alignment horizontal="center" vertical="center" wrapText="1"/>
    </xf>
    <xf numFmtId="4" fontId="102" fillId="0" borderId="42" xfId="8" applyNumberFormat="1" applyFont="1" applyFill="1" applyBorder="1" applyAlignment="1" applyProtection="1">
      <alignment horizontal="right" vertical="center" wrapText="1" indent="1"/>
    </xf>
    <xf numFmtId="4" fontId="100" fillId="0" borderId="42" xfId="8" applyNumberFormat="1" applyFont="1" applyFill="1" applyBorder="1" applyAlignment="1" applyProtection="1">
      <alignment horizontal="right" vertical="center" wrapText="1" indent="1"/>
    </xf>
    <xf numFmtId="4" fontId="102" fillId="0" borderId="42" xfId="8" applyNumberFormat="1" applyFont="1" applyFill="1" applyBorder="1" applyAlignment="1" applyProtection="1">
      <alignment horizontal="center" vertical="center" wrapText="1"/>
    </xf>
    <xf numFmtId="0" fontId="93" fillId="0" borderId="43" xfId="0" applyFont="1" applyBorder="1" applyAlignment="1" applyProtection="1">
      <alignment horizontal="left" vertical="center" wrapText="1" indent="1"/>
    </xf>
    <xf numFmtId="49" fontId="93" fillId="0" borderId="0" xfId="0" applyNumberFormat="1" applyFont="1" applyFill="1" applyBorder="1" applyAlignment="1" applyProtection="1">
      <alignment horizontal="left" vertical="center"/>
    </xf>
    <xf numFmtId="0" fontId="84" fillId="0" borderId="0" xfId="0" applyFont="1" applyBorder="1" applyAlignment="1" applyProtection="1">
      <alignment horizontal="right" vertical="center" wrapText="1" indent="2"/>
    </xf>
    <xf numFmtId="0" fontId="84" fillId="0" borderId="0" xfId="0" applyFont="1" applyBorder="1" applyAlignment="1" applyProtection="1">
      <alignment horizontal="justify" vertical="center" wrapText="1"/>
    </xf>
    <xf numFmtId="0" fontId="84" fillId="0" borderId="0" xfId="0" applyFont="1" applyBorder="1" applyAlignment="1" applyProtection="1">
      <alignment horizontal="center" vertical="center" wrapText="1"/>
    </xf>
    <xf numFmtId="4" fontId="102" fillId="0" borderId="0" xfId="8" applyNumberFormat="1" applyFont="1" applyFill="1" applyBorder="1" applyAlignment="1" applyProtection="1">
      <alignment horizontal="right" vertical="center" wrapText="1" indent="1"/>
    </xf>
    <xf numFmtId="4" fontId="100" fillId="0" borderId="0" xfId="8" applyNumberFormat="1" applyFont="1" applyFill="1" applyBorder="1" applyAlignment="1" applyProtection="1">
      <alignment horizontal="right" vertical="center" wrapText="1" indent="1"/>
    </xf>
    <xf numFmtId="4" fontId="102" fillId="0" borderId="0" xfId="8" applyNumberFormat="1" applyFont="1" applyFill="1" applyBorder="1" applyAlignment="1" applyProtection="1">
      <alignment horizontal="center" vertical="center" wrapText="1"/>
    </xf>
    <xf numFmtId="0" fontId="93" fillId="0" borderId="45" xfId="0" applyFont="1" applyBorder="1" applyAlignment="1" applyProtection="1">
      <alignment horizontal="left" vertical="center" wrapText="1" indent="1"/>
    </xf>
    <xf numFmtId="49" fontId="86" fillId="0" borderId="0" xfId="0" applyNumberFormat="1" applyFont="1" applyFill="1" applyBorder="1" applyAlignment="1" applyProtection="1">
      <alignment horizontal="left" vertical="center"/>
    </xf>
    <xf numFmtId="49" fontId="86" fillId="0" borderId="0" xfId="0" applyNumberFormat="1" applyFont="1" applyFill="1" applyBorder="1" applyAlignment="1" applyProtection="1">
      <alignment vertical="center"/>
    </xf>
    <xf numFmtId="49" fontId="86" fillId="0" borderId="34" xfId="0" applyNumberFormat="1" applyFont="1" applyFill="1" applyBorder="1" applyAlignment="1" applyProtection="1">
      <alignment horizontal="left" vertical="center"/>
    </xf>
    <xf numFmtId="0" fontId="84" fillId="0" borderId="34" xfId="0" applyFont="1" applyBorder="1" applyAlignment="1" applyProtection="1">
      <alignment horizontal="right" vertical="center" wrapText="1" indent="2"/>
    </xf>
    <xf numFmtId="0" fontId="84" fillId="0" borderId="34" xfId="0" applyFont="1" applyBorder="1" applyAlignment="1" applyProtection="1">
      <alignment horizontal="justify" vertical="center" wrapText="1"/>
    </xf>
    <xf numFmtId="0" fontId="84" fillId="0" borderId="34" xfId="0" applyFont="1" applyBorder="1" applyAlignment="1" applyProtection="1">
      <alignment horizontal="center" vertical="center" wrapText="1"/>
    </xf>
    <xf numFmtId="4" fontId="102" fillId="0" borderId="34" xfId="8" applyNumberFormat="1" applyFont="1" applyFill="1" applyBorder="1" applyAlignment="1" applyProtection="1">
      <alignment horizontal="right" vertical="center" wrapText="1" indent="1"/>
    </xf>
    <xf numFmtId="4" fontId="100" fillId="0" borderId="34" xfId="8" applyNumberFormat="1" applyFont="1" applyFill="1" applyBorder="1" applyAlignment="1" applyProtection="1">
      <alignment horizontal="right" vertical="center" wrapText="1" indent="1"/>
    </xf>
    <xf numFmtId="4" fontId="102" fillId="0" borderId="34" xfId="8" applyNumberFormat="1" applyFont="1" applyFill="1" applyBorder="1" applyAlignment="1" applyProtection="1">
      <alignment horizontal="center" vertical="center" wrapText="1"/>
    </xf>
    <xf numFmtId="0" fontId="93" fillId="0" borderId="35" xfId="0" applyFont="1" applyBorder="1" applyAlignment="1" applyProtection="1">
      <alignment horizontal="left" vertical="center" wrapText="1" indent="1"/>
    </xf>
    <xf numFmtId="0" fontId="99" fillId="70" borderId="32" xfId="9" applyFont="1" applyFill="1" applyBorder="1" applyAlignment="1" applyProtection="1">
      <alignment vertical="center" wrapText="1"/>
    </xf>
    <xf numFmtId="0" fontId="102" fillId="70" borderId="32" xfId="9" applyFont="1" applyFill="1" applyBorder="1" applyAlignment="1" applyProtection="1">
      <alignment vertical="center" wrapText="1"/>
    </xf>
    <xf numFmtId="0" fontId="100" fillId="70" borderId="33" xfId="9" applyFont="1" applyFill="1" applyBorder="1" applyAlignment="1" applyProtection="1">
      <alignment vertical="center" wrapText="1"/>
    </xf>
    <xf numFmtId="0" fontId="99" fillId="70" borderId="32" xfId="0" applyFont="1" applyFill="1" applyBorder="1" applyAlignment="1" applyProtection="1">
      <alignment vertical="center" wrapText="1"/>
    </xf>
    <xf numFmtId="0" fontId="100" fillId="0" borderId="27" xfId="0" applyFont="1" applyFill="1" applyBorder="1" applyAlignment="1" applyProtection="1">
      <alignment vertical="center" wrapText="1"/>
    </xf>
    <xf numFmtId="0" fontId="90" fillId="0" borderId="27" xfId="0" applyFont="1" applyFill="1" applyBorder="1" applyAlignment="1" applyProtection="1">
      <alignment horizontal="left" vertical="center" wrapText="1" indent="1"/>
    </xf>
    <xf numFmtId="0" fontId="84" fillId="71" borderId="27" xfId="0" applyFont="1" applyFill="1" applyBorder="1" applyAlignment="1" applyProtection="1">
      <alignment horizontal="justify" vertical="center" wrapText="1"/>
    </xf>
    <xf numFmtId="0" fontId="84" fillId="71" borderId="27" xfId="0" applyFont="1" applyFill="1" applyBorder="1" applyAlignment="1" applyProtection="1">
      <alignment horizontal="center" vertical="center" wrapText="1"/>
    </xf>
    <xf numFmtId="0" fontId="84" fillId="0" borderId="27" xfId="0" applyFont="1" applyBorder="1" applyAlignment="1" applyProtection="1">
      <alignment horizontal="right" vertical="center" wrapText="1" indent="1"/>
    </xf>
    <xf numFmtId="0" fontId="84" fillId="0" borderId="27" xfId="0" applyFont="1" applyFill="1" applyBorder="1" applyAlignment="1" applyProtection="1">
      <alignment horizontal="right" vertical="center" wrapText="1" indent="1"/>
    </xf>
    <xf numFmtId="49" fontId="86" fillId="0" borderId="27" xfId="0" applyNumberFormat="1" applyFont="1" applyBorder="1" applyAlignment="1" applyProtection="1">
      <alignment horizontal="center" vertical="center"/>
    </xf>
    <xf numFmtId="0" fontId="86" fillId="0" borderId="27" xfId="0" applyFont="1" applyBorder="1" applyAlignment="1" applyProtection="1">
      <alignment horizontal="right" vertical="center"/>
    </xf>
    <xf numFmtId="0" fontId="86" fillId="66" borderId="27" xfId="0" applyFont="1" applyFill="1" applyBorder="1" applyAlignment="1" applyProtection="1">
      <alignment horizontal="justify" vertical="center" wrapText="1"/>
    </xf>
    <xf numFmtId="0" fontId="86" fillId="0" borderId="27" xfId="0" applyFont="1" applyBorder="1" applyAlignment="1" applyProtection="1">
      <alignment horizontal="right" vertical="center" wrapText="1"/>
    </xf>
    <xf numFmtId="0" fontId="86" fillId="0" borderId="27" xfId="0" applyFont="1" applyFill="1" applyBorder="1" applyAlignment="1" applyProtection="1">
      <alignment horizontal="right" vertical="center" wrapText="1"/>
    </xf>
    <xf numFmtId="0" fontId="84" fillId="0" borderId="27" xfId="1" applyFont="1" applyBorder="1" applyAlignment="1" applyProtection="1">
      <alignment horizontal="center" vertical="center"/>
    </xf>
    <xf numFmtId="0" fontId="84" fillId="0" borderId="27" xfId="1" applyFont="1" applyBorder="1" applyAlignment="1" applyProtection="1">
      <alignment horizontal="justify" vertical="center" wrapText="1"/>
    </xf>
    <xf numFmtId="0" fontId="90" fillId="0" borderId="27" xfId="0" applyFont="1" applyBorder="1" applyAlignment="1" applyProtection="1">
      <alignment horizontal="justify" vertical="center" wrapText="1"/>
    </xf>
    <xf numFmtId="49" fontId="86" fillId="0" borderId="42" xfId="0" applyNumberFormat="1" applyFont="1" applyBorder="1" applyAlignment="1" applyProtection="1">
      <alignment horizontal="center" vertical="center"/>
    </xf>
    <xf numFmtId="0" fontId="86" fillId="0" borderId="42" xfId="0" applyFont="1" applyBorder="1" applyAlignment="1" applyProtection="1">
      <alignment horizontal="center" vertical="center" wrapText="1"/>
    </xf>
    <xf numFmtId="0" fontId="86" fillId="0" borderId="43" xfId="0" applyFont="1" applyBorder="1" applyAlignment="1" applyProtection="1">
      <alignment horizontal="left" vertical="center" wrapText="1" indent="1"/>
    </xf>
    <xf numFmtId="49" fontId="93" fillId="0" borderId="0" xfId="0" applyNumberFormat="1" applyFont="1" applyBorder="1" applyAlignment="1" applyProtection="1">
      <alignment horizontal="left" vertical="center"/>
    </xf>
    <xf numFmtId="0" fontId="86" fillId="0" borderId="0" xfId="0" applyFont="1" applyBorder="1" applyAlignment="1" applyProtection="1">
      <alignment horizontal="center" vertical="center" wrapText="1"/>
    </xf>
    <xf numFmtId="0" fontId="86" fillId="0" borderId="45" xfId="0" applyFont="1" applyBorder="1" applyAlignment="1" applyProtection="1">
      <alignment horizontal="left" vertical="center" wrapText="1" indent="1"/>
    </xf>
    <xf numFmtId="49" fontId="86" fillId="0" borderId="0" xfId="0" applyNumberFormat="1" applyFont="1" applyBorder="1" applyAlignment="1" applyProtection="1">
      <alignment horizontal="left" vertical="center"/>
    </xf>
    <xf numFmtId="49" fontId="86" fillId="0" borderId="34" xfId="0" applyNumberFormat="1" applyFont="1" applyBorder="1" applyAlignment="1" applyProtection="1">
      <alignment horizontal="center" vertical="center"/>
    </xf>
    <xf numFmtId="0" fontId="86" fillId="0" borderId="34" xfId="0" applyFont="1" applyBorder="1" applyAlignment="1" applyProtection="1">
      <alignment horizontal="center" vertical="center" wrapText="1"/>
    </xf>
    <xf numFmtId="0" fontId="86" fillId="0" borderId="35" xfId="0" applyFont="1" applyBorder="1" applyAlignment="1" applyProtection="1">
      <alignment horizontal="left" vertical="center" wrapText="1" indent="1"/>
    </xf>
    <xf numFmtId="0" fontId="85" fillId="70" borderId="32" xfId="9" applyFont="1" applyFill="1" applyBorder="1" applyAlignment="1" applyProtection="1">
      <alignment vertical="center" wrapText="1"/>
    </xf>
    <xf numFmtId="0" fontId="84" fillId="0" borderId="27" xfId="1" applyFont="1" applyFill="1" applyBorder="1" applyAlignment="1" applyProtection="1">
      <alignment horizontal="justify" vertical="center" wrapText="1"/>
    </xf>
    <xf numFmtId="0" fontId="90" fillId="0" borderId="27" xfId="1" applyFont="1" applyFill="1" applyBorder="1" applyAlignment="1" applyProtection="1">
      <alignment horizontal="justify" vertical="center" wrapText="1"/>
    </xf>
    <xf numFmtId="4" fontId="127" fillId="0" borderId="27" xfId="0" applyNumberFormat="1" applyFont="1" applyFill="1" applyBorder="1" applyAlignment="1" applyProtection="1">
      <alignment horizontal="right" vertical="center" wrapText="1" indent="1"/>
    </xf>
    <xf numFmtId="4" fontId="100" fillId="0" borderId="27" xfId="0" applyNumberFormat="1" applyFont="1" applyFill="1" applyBorder="1" applyAlignment="1" applyProtection="1">
      <alignment horizontal="right" vertical="center" wrapText="1" indent="1"/>
    </xf>
    <xf numFmtId="4" fontId="127" fillId="0" borderId="27" xfId="0" applyNumberFormat="1" applyFont="1" applyFill="1" applyBorder="1" applyAlignment="1" applyProtection="1">
      <alignment horizontal="center" vertical="center" wrapText="1"/>
    </xf>
    <xf numFmtId="0" fontId="93" fillId="0" borderId="27" xfId="8" applyFont="1" applyBorder="1" applyAlignment="1" applyProtection="1">
      <alignment horizontal="justify" vertical="center" wrapText="1"/>
    </xf>
    <xf numFmtId="0" fontId="86" fillId="0" borderId="27" xfId="0" applyNumberFormat="1" applyFont="1" applyFill="1" applyBorder="1" applyAlignment="1" applyProtection="1">
      <alignment horizontal="justify" vertical="center" wrapText="1"/>
    </xf>
    <xf numFmtId="0" fontId="84" fillId="0" borderId="27" xfId="0" applyFont="1" applyFill="1" applyBorder="1" applyAlignment="1" applyProtection="1">
      <alignment horizontal="center" vertical="center" wrapText="1"/>
    </xf>
    <xf numFmtId="4" fontId="90" fillId="0" borderId="27" xfId="0" applyNumberFormat="1" applyFont="1" applyFill="1" applyBorder="1" applyAlignment="1" applyProtection="1">
      <alignment horizontal="justify" vertical="center" wrapText="1"/>
    </xf>
    <xf numFmtId="49" fontId="90" fillId="71" borderId="27" xfId="0" applyNumberFormat="1" applyFont="1" applyFill="1" applyBorder="1" applyAlignment="1" applyProtection="1">
      <alignment horizontal="center" vertical="center" wrapText="1"/>
    </xf>
    <xf numFmtId="49" fontId="86" fillId="0" borderId="27" xfId="0" applyNumberFormat="1" applyFont="1" applyFill="1" applyBorder="1" applyAlignment="1" applyProtection="1">
      <alignment horizontal="center" vertical="center" wrapText="1"/>
    </xf>
    <xf numFmtId="0" fontId="90" fillId="0" borderId="27" xfId="0" applyFont="1" applyBorder="1" applyAlignment="1" applyProtection="1">
      <alignment horizontal="center" vertical="center" wrapText="1"/>
    </xf>
    <xf numFmtId="4" fontId="102" fillId="0" borderId="27" xfId="0" applyNumberFormat="1" applyFont="1" applyBorder="1" applyAlignment="1" applyProtection="1">
      <alignment horizontal="right" vertical="center" wrapText="1" indent="1"/>
    </xf>
    <xf numFmtId="49" fontId="84" fillId="0" borderId="29" xfId="0" applyNumberFormat="1" applyFont="1" applyFill="1" applyBorder="1" applyAlignment="1" applyProtection="1">
      <alignment horizontal="center" vertical="center" wrapText="1"/>
    </xf>
    <xf numFmtId="0" fontId="90" fillId="0" borderId="29" xfId="0" applyFont="1" applyBorder="1" applyAlignment="1" applyProtection="1">
      <alignment horizontal="justify" vertical="center" wrapText="1"/>
    </xf>
    <xf numFmtId="0" fontId="84" fillId="0" borderId="29" xfId="0" applyFont="1" applyBorder="1" applyAlignment="1" applyProtection="1">
      <alignment horizontal="justify" vertical="center" wrapText="1"/>
    </xf>
    <xf numFmtId="0" fontId="84" fillId="0" borderId="29" xfId="0" applyFont="1" applyBorder="1" applyAlignment="1" applyProtection="1">
      <alignment horizontal="center" vertical="center" wrapText="1"/>
    </xf>
    <xf numFmtId="4" fontId="102" fillId="0" borderId="29" xfId="8" applyNumberFormat="1" applyFont="1" applyFill="1" applyBorder="1" applyAlignment="1" applyProtection="1">
      <alignment horizontal="right" vertical="center" wrapText="1" indent="1"/>
    </xf>
    <xf numFmtId="4" fontId="102" fillId="0" borderId="29" xfId="0" applyNumberFormat="1" applyFont="1" applyFill="1" applyBorder="1" applyAlignment="1" applyProtection="1">
      <alignment horizontal="center" vertical="center" wrapText="1"/>
    </xf>
    <xf numFmtId="0" fontId="93" fillId="0" borderId="29" xfId="0" applyFont="1" applyBorder="1" applyAlignment="1" applyProtection="1">
      <alignment horizontal="justify" vertical="center" wrapText="1"/>
    </xf>
    <xf numFmtId="0" fontId="86" fillId="0" borderId="27" xfId="8" applyFont="1" applyBorder="1" applyAlignment="1" applyProtection="1">
      <alignment horizontal="justify" vertical="center" wrapText="1"/>
    </xf>
    <xf numFmtId="49" fontId="90" fillId="71" borderId="30" xfId="0" applyNumberFormat="1" applyFont="1" applyFill="1" applyBorder="1" applyAlignment="1" applyProtection="1">
      <alignment horizontal="center" vertical="center" wrapText="1"/>
    </xf>
    <xf numFmtId="0" fontId="84" fillId="71" borderId="30" xfId="8" applyFont="1" applyFill="1" applyBorder="1" applyAlignment="1" applyProtection="1">
      <alignment horizontal="justify" vertical="center" wrapText="1"/>
    </xf>
    <xf numFmtId="0" fontId="84" fillId="71" borderId="30" xfId="8" applyFont="1" applyFill="1" applyBorder="1" applyAlignment="1" applyProtection="1">
      <alignment vertical="center" wrapText="1"/>
    </xf>
    <xf numFmtId="0" fontId="102" fillId="71" borderId="30" xfId="8" applyFont="1" applyFill="1" applyBorder="1" applyAlignment="1" applyProtection="1">
      <alignment vertical="center" wrapText="1"/>
    </xf>
    <xf numFmtId="0" fontId="100" fillId="71" borderId="30" xfId="8" applyFont="1" applyFill="1" applyBorder="1" applyAlignment="1" applyProtection="1">
      <alignment vertical="center" wrapText="1"/>
    </xf>
    <xf numFmtId="4" fontId="102" fillId="71" borderId="30" xfId="8" applyNumberFormat="1" applyFont="1" applyFill="1" applyBorder="1" applyAlignment="1" applyProtection="1">
      <alignment horizontal="center" vertical="center" wrapText="1"/>
    </xf>
    <xf numFmtId="0" fontId="84" fillId="0" borderId="27" xfId="8" applyFont="1" applyFill="1" applyBorder="1" applyAlignment="1" applyProtection="1">
      <alignment horizontal="right" vertical="center" wrapText="1"/>
    </xf>
    <xf numFmtId="4" fontId="127" fillId="0" borderId="27" xfId="0" applyNumberFormat="1" applyFont="1" applyBorder="1" applyAlignment="1" applyProtection="1">
      <alignment horizontal="right" vertical="center" wrapText="1" indent="1"/>
    </xf>
    <xf numFmtId="0" fontId="90" fillId="71" borderId="27" xfId="0" applyFont="1" applyFill="1" applyBorder="1" applyAlignment="1" applyProtection="1">
      <alignment horizontal="justify" vertical="center" wrapText="1"/>
    </xf>
    <xf numFmtId="4" fontId="102" fillId="71" borderId="27" xfId="0" applyNumberFormat="1" applyFont="1" applyFill="1" applyBorder="1" applyAlignment="1" applyProtection="1">
      <alignment horizontal="center" vertical="center" wrapText="1"/>
    </xf>
    <xf numFmtId="49" fontId="89" fillId="71" borderId="27" xfId="0" applyNumberFormat="1" applyFont="1" applyFill="1" applyBorder="1" applyAlignment="1" applyProtection="1">
      <alignment horizontal="center" vertical="center" wrapText="1"/>
    </xf>
    <xf numFmtId="49" fontId="84" fillId="66" borderId="27" xfId="9" applyNumberFormat="1" applyFont="1" applyFill="1" applyBorder="1" applyAlignment="1" applyProtection="1">
      <alignment horizontal="center" vertical="center"/>
    </xf>
    <xf numFmtId="0" fontId="95" fillId="0" borderId="27" xfId="1" applyFont="1" applyFill="1" applyBorder="1" applyAlignment="1" applyProtection="1">
      <alignment horizontal="justify" vertical="center" wrapText="1"/>
    </xf>
    <xf numFmtId="4" fontId="102" fillId="0" borderId="27" xfId="3226" applyNumberFormat="1" applyFont="1" applyFill="1" applyBorder="1" applyAlignment="1" applyProtection="1">
      <alignment horizontal="right" vertical="center" indent="1"/>
    </xf>
    <xf numFmtId="4" fontId="102" fillId="0" borderId="27" xfId="3226" applyNumberFormat="1" applyFont="1" applyFill="1" applyBorder="1" applyAlignment="1" applyProtection="1">
      <alignment horizontal="center" vertical="center"/>
    </xf>
    <xf numFmtId="49" fontId="86" fillId="71" borderId="27" xfId="0" applyNumberFormat="1" applyFont="1" applyFill="1" applyBorder="1" applyAlignment="1" applyProtection="1">
      <alignment horizontal="left" vertical="center"/>
    </xf>
    <xf numFmtId="49" fontId="87" fillId="71" borderId="27" xfId="0" applyNumberFormat="1" applyFont="1" applyFill="1" applyBorder="1" applyAlignment="1" applyProtection="1">
      <alignment horizontal="left" vertical="center"/>
    </xf>
    <xf numFmtId="49" fontId="102" fillId="71" borderId="27" xfId="0" applyNumberFormat="1" applyFont="1" applyFill="1" applyBorder="1" applyAlignment="1" applyProtection="1">
      <alignment horizontal="left" vertical="center"/>
    </xf>
    <xf numFmtId="49" fontId="100" fillId="71" borderId="27" xfId="0" applyNumberFormat="1" applyFont="1" applyFill="1" applyBorder="1" applyAlignment="1" applyProtection="1">
      <alignment horizontal="left" vertical="center"/>
    </xf>
    <xf numFmtId="4" fontId="102" fillId="71" borderId="27" xfId="0" applyNumberFormat="1" applyFont="1" applyFill="1" applyBorder="1" applyAlignment="1" applyProtection="1">
      <alignment horizontal="center" vertical="center"/>
    </xf>
    <xf numFmtId="49" fontId="86" fillId="0" borderId="27" xfId="0" applyNumberFormat="1" applyFont="1" applyFill="1" applyBorder="1" applyAlignment="1" applyProtection="1">
      <alignment horizontal="right" vertical="center"/>
    </xf>
    <xf numFmtId="49" fontId="86" fillId="0" borderId="27" xfId="0" applyNumberFormat="1" applyFont="1" applyFill="1" applyBorder="1" applyAlignment="1" applyProtection="1">
      <alignment horizontal="justify" vertical="center"/>
    </xf>
    <xf numFmtId="0" fontId="84" fillId="71" borderId="27" xfId="0" applyFont="1" applyFill="1" applyBorder="1" applyAlignment="1" applyProtection="1">
      <alignment horizontal="left" vertical="center" wrapText="1" indent="1"/>
    </xf>
    <xf numFmtId="4" fontId="102" fillId="71" borderId="27" xfId="3226" applyNumberFormat="1" applyFont="1" applyFill="1" applyBorder="1" applyAlignment="1" applyProtection="1">
      <alignment horizontal="right" vertical="center" indent="1"/>
    </xf>
    <xf numFmtId="49" fontId="86" fillId="66" borderId="27" xfId="0" applyNumberFormat="1" applyFont="1" applyFill="1" applyBorder="1" applyAlignment="1" applyProtection="1">
      <alignment horizontal="center" vertical="center"/>
    </xf>
    <xf numFmtId="0" fontId="84" fillId="0" borderId="27" xfId="0" applyNumberFormat="1" applyFont="1" applyFill="1" applyBorder="1" applyAlignment="1" applyProtection="1">
      <alignment horizontal="justify" vertical="center" wrapText="1"/>
    </xf>
    <xf numFmtId="0" fontId="84" fillId="0" borderId="27" xfId="0" applyNumberFormat="1" applyFont="1" applyFill="1" applyBorder="1" applyAlignment="1" applyProtection="1">
      <alignment horizontal="center" vertical="center" wrapText="1"/>
    </xf>
    <xf numFmtId="0" fontId="90" fillId="71" borderId="27" xfId="0" applyFont="1" applyFill="1" applyBorder="1" applyAlignment="1" applyProtection="1">
      <alignment horizontal="left" vertical="center"/>
    </xf>
    <xf numFmtId="0" fontId="86" fillId="71" borderId="27" xfId="0" applyFont="1" applyFill="1" applyBorder="1" applyAlignment="1" applyProtection="1">
      <alignment horizontal="left" vertical="center" wrapText="1" indent="1"/>
    </xf>
    <xf numFmtId="49" fontId="86" fillId="66" borderId="27" xfId="0" applyNumberFormat="1" applyFont="1" applyFill="1" applyBorder="1" applyAlignment="1" applyProtection="1">
      <alignment horizontal="right" vertical="center"/>
    </xf>
    <xf numFmtId="0" fontId="86" fillId="0" borderId="27" xfId="0" applyFont="1" applyBorder="1" applyAlignment="1" applyProtection="1">
      <alignment horizontal="center" vertical="center"/>
    </xf>
    <xf numFmtId="4" fontId="86" fillId="71" borderId="27" xfId="0" applyNumberFormat="1" applyFont="1" applyFill="1" applyBorder="1" applyAlignment="1" applyProtection="1">
      <alignment horizontal="justify" vertical="center" wrapText="1"/>
    </xf>
    <xf numFmtId="0" fontId="84" fillId="71" borderId="31" xfId="8" applyFont="1" applyFill="1" applyBorder="1" applyAlignment="1" applyProtection="1">
      <alignment horizontal="center" vertical="center" wrapText="1"/>
    </xf>
    <xf numFmtId="4" fontId="102" fillId="71" borderId="32" xfId="3226" applyNumberFormat="1" applyFont="1" applyFill="1" applyBorder="1" applyAlignment="1" applyProtection="1">
      <alignment horizontal="right" vertical="center" indent="1"/>
    </xf>
    <xf numFmtId="4" fontId="100" fillId="71" borderId="32" xfId="8" applyNumberFormat="1" applyFont="1" applyFill="1" applyBorder="1" applyAlignment="1" applyProtection="1">
      <alignment horizontal="right" vertical="center" wrapText="1" indent="1"/>
    </xf>
    <xf numFmtId="4" fontId="102" fillId="71" borderId="33" xfId="3226" applyNumberFormat="1" applyFont="1" applyFill="1" applyBorder="1" applyAlignment="1" applyProtection="1">
      <alignment horizontal="center" vertical="center"/>
    </xf>
    <xf numFmtId="0" fontId="93" fillId="0" borderId="33" xfId="0" applyFont="1" applyFill="1" applyBorder="1" applyAlignment="1" applyProtection="1">
      <alignment horizontal="justify" vertical="center" wrapText="1"/>
    </xf>
    <xf numFmtId="0" fontId="84" fillId="0" borderId="31" xfId="8" applyFont="1" applyFill="1" applyBorder="1" applyAlignment="1" applyProtection="1">
      <alignment horizontal="center" vertical="center" wrapText="1"/>
    </xf>
    <xf numFmtId="4" fontId="84" fillId="0" borderId="33" xfId="0" applyNumberFormat="1" applyFont="1" applyBorder="1" applyAlignment="1" applyProtection="1">
      <alignment horizontal="justify" vertical="center" wrapText="1"/>
    </xf>
    <xf numFmtId="0" fontId="86" fillId="0" borderId="31" xfId="0" applyFont="1" applyBorder="1" applyAlignment="1" applyProtection="1">
      <alignment horizontal="center" vertical="center" wrapText="1"/>
    </xf>
    <xf numFmtId="0" fontId="84" fillId="0" borderId="31" xfId="0" applyFont="1" applyFill="1" applyBorder="1" applyAlignment="1" applyProtection="1">
      <alignment horizontal="center" vertical="center" wrapText="1"/>
    </xf>
    <xf numFmtId="4" fontId="127" fillId="0" borderId="27" xfId="3226" applyNumberFormat="1" applyFont="1" applyFill="1" applyBorder="1" applyAlignment="1" applyProtection="1">
      <alignment horizontal="right" vertical="center" indent="1"/>
    </xf>
    <xf numFmtId="4" fontId="127" fillId="0" borderId="27" xfId="3226" applyNumberFormat="1" applyFont="1" applyFill="1" applyBorder="1" applyAlignment="1" applyProtection="1">
      <alignment horizontal="center" vertical="center"/>
    </xf>
    <xf numFmtId="4" fontId="84" fillId="0" borderId="33" xfId="0" applyNumberFormat="1" applyFont="1" applyFill="1" applyBorder="1" applyAlignment="1" applyProtection="1">
      <alignment horizontal="justify" vertical="center" wrapText="1"/>
    </xf>
    <xf numFmtId="0" fontId="93" fillId="0" borderId="33" xfId="0" applyFont="1" applyBorder="1" applyAlignment="1" applyProtection="1">
      <alignment horizontal="justify" vertical="center" wrapText="1"/>
    </xf>
    <xf numFmtId="2" fontId="102" fillId="0" borderId="27" xfId="0" applyNumberFormat="1" applyFont="1" applyFill="1" applyBorder="1" applyAlignment="1" applyProtection="1">
      <alignment horizontal="right" vertical="center" indent="1"/>
    </xf>
    <xf numFmtId="0" fontId="93" fillId="0" borderId="43" xfId="0" applyFont="1" applyBorder="1" applyAlignment="1" applyProtection="1">
      <alignment horizontal="justify" vertical="center" wrapText="1"/>
    </xf>
    <xf numFmtId="0" fontId="93" fillId="0" borderId="45" xfId="0" applyFont="1" applyBorder="1" applyAlignment="1" applyProtection="1">
      <alignment horizontal="justify" vertical="center" wrapText="1"/>
    </xf>
    <xf numFmtId="49" fontId="86" fillId="0" borderId="34" xfId="0" applyNumberFormat="1" applyFont="1" applyFill="1" applyBorder="1" applyAlignment="1" applyProtection="1">
      <alignment horizontal="center" vertical="center"/>
    </xf>
    <xf numFmtId="0" fontId="93" fillId="0" borderId="35" xfId="0" applyFont="1" applyBorder="1" applyAlignment="1" applyProtection="1">
      <alignment horizontal="justify" vertical="center" wrapText="1"/>
    </xf>
    <xf numFmtId="0" fontId="102" fillId="70" borderId="32" xfId="0" applyFont="1" applyFill="1" applyBorder="1" applyAlignment="1" applyProtection="1">
      <alignment horizontal="center"/>
    </xf>
    <xf numFmtId="0" fontId="100" fillId="70" borderId="32" xfId="0" applyFont="1" applyFill="1" applyBorder="1" applyAlignment="1" applyProtection="1">
      <alignment horizontal="center"/>
    </xf>
    <xf numFmtId="4" fontId="102" fillId="70" borderId="32" xfId="0" applyNumberFormat="1" applyFont="1" applyFill="1" applyBorder="1" applyAlignment="1" applyProtection="1">
      <alignment horizontal="center"/>
    </xf>
    <xf numFmtId="0" fontId="100" fillId="70" borderId="33" xfId="0" applyFont="1" applyFill="1" applyBorder="1" applyAlignment="1" applyProtection="1">
      <alignment horizontal="left" vertical="center" wrapText="1" indent="1"/>
    </xf>
    <xf numFmtId="4" fontId="102" fillId="70" borderId="33" xfId="0" applyNumberFormat="1" applyFont="1" applyFill="1" applyBorder="1" applyAlignment="1" applyProtection="1">
      <alignment horizontal="center"/>
    </xf>
    <xf numFmtId="0" fontId="100" fillId="0" borderId="27" xfId="0" applyFont="1" applyFill="1" applyBorder="1" applyAlignment="1" applyProtection="1">
      <alignment horizontal="left" vertical="center" wrapText="1" indent="1"/>
    </xf>
    <xf numFmtId="0" fontId="103" fillId="70" borderId="27" xfId="9" applyFont="1" applyFill="1" applyBorder="1" applyAlignment="1" applyProtection="1">
      <alignment horizontal="left" vertical="center" indent="1"/>
    </xf>
    <xf numFmtId="0" fontId="103" fillId="70" borderId="27" xfId="9" applyFont="1" applyFill="1" applyBorder="1" applyAlignment="1" applyProtection="1">
      <alignment vertical="center" wrapText="1"/>
    </xf>
    <xf numFmtId="0" fontId="99" fillId="70" borderId="31" xfId="9" applyFont="1" applyFill="1" applyBorder="1" applyAlignment="1" applyProtection="1">
      <alignment vertical="center" wrapText="1"/>
    </xf>
    <xf numFmtId="0" fontId="100" fillId="70" borderId="40" xfId="9" applyFont="1" applyFill="1" applyBorder="1" applyAlignment="1" applyProtection="1">
      <alignment vertical="center" wrapText="1"/>
    </xf>
    <xf numFmtId="4" fontId="102" fillId="70" borderId="33" xfId="9" applyNumberFormat="1" applyFont="1" applyFill="1" applyBorder="1" applyAlignment="1" applyProtection="1">
      <alignment horizontal="center" vertical="center" wrapText="1"/>
    </xf>
    <xf numFmtId="0" fontId="100" fillId="0" borderId="27" xfId="9" applyFont="1" applyFill="1" applyBorder="1" applyAlignment="1" applyProtection="1">
      <alignment vertical="center" wrapText="1"/>
    </xf>
    <xf numFmtId="0" fontId="109" fillId="65" borderId="27" xfId="9" applyFont="1" applyFill="1" applyBorder="1" applyAlignment="1" applyProtection="1">
      <alignment horizontal="left" vertical="center" indent="1"/>
    </xf>
    <xf numFmtId="0" fontId="99" fillId="65" borderId="31" xfId="9" applyFont="1" applyFill="1" applyBorder="1" applyAlignment="1" applyProtection="1">
      <alignment vertical="center" wrapText="1"/>
    </xf>
    <xf numFmtId="0" fontId="99" fillId="65" borderId="39" xfId="9" applyFont="1" applyFill="1" applyBorder="1" applyAlignment="1" applyProtection="1">
      <alignment vertical="center" wrapText="1"/>
    </xf>
    <xf numFmtId="0" fontId="102" fillId="65" borderId="39" xfId="9" applyFont="1" applyFill="1" applyBorder="1" applyAlignment="1" applyProtection="1">
      <alignment vertical="center" wrapText="1"/>
    </xf>
    <xf numFmtId="0" fontId="100" fillId="65" borderId="39" xfId="9" applyFont="1" applyFill="1" applyBorder="1" applyAlignment="1" applyProtection="1">
      <alignment vertical="center" wrapText="1"/>
    </xf>
    <xf numFmtId="4" fontId="102" fillId="65" borderId="33" xfId="9" applyNumberFormat="1" applyFont="1" applyFill="1" applyBorder="1" applyAlignment="1" applyProtection="1">
      <alignment horizontal="center" vertical="center" wrapText="1"/>
    </xf>
    <xf numFmtId="0" fontId="102" fillId="71" borderId="27" xfId="0" applyFont="1" applyFill="1" applyBorder="1" applyAlignment="1" applyProtection="1">
      <alignment horizontal="left" vertical="center" wrapText="1" indent="1"/>
    </xf>
    <xf numFmtId="0" fontId="100" fillId="71" borderId="27" xfId="0" applyFont="1" applyFill="1" applyBorder="1" applyAlignment="1" applyProtection="1">
      <alignment horizontal="left" vertical="center" wrapText="1" indent="1"/>
    </xf>
    <xf numFmtId="0" fontId="84" fillId="0" borderId="27" xfId="0" applyFont="1" applyBorder="1" applyAlignment="1" applyProtection="1">
      <alignment horizontal="left" vertical="center" wrapText="1" indent="1"/>
    </xf>
    <xf numFmtId="4" fontId="102" fillId="0" borderId="27" xfId="3225" applyNumberFormat="1" applyFont="1" applyFill="1" applyBorder="1" applyAlignment="1" applyProtection="1">
      <alignment horizontal="right" vertical="center" wrapText="1" indent="1"/>
    </xf>
    <xf numFmtId="0" fontId="85" fillId="65" borderId="31" xfId="9" applyFont="1" applyFill="1" applyBorder="1" applyAlignment="1" applyProtection="1">
      <alignment vertical="center" wrapText="1"/>
    </xf>
    <xf numFmtId="0" fontId="85" fillId="65" borderId="32" xfId="9" applyFont="1" applyFill="1" applyBorder="1" applyAlignment="1" applyProtection="1">
      <alignment vertical="center" wrapText="1"/>
    </xf>
    <xf numFmtId="0" fontId="102" fillId="65" borderId="32" xfId="9" applyFont="1" applyFill="1" applyBorder="1" applyAlignment="1" applyProtection="1">
      <alignment vertical="center" wrapText="1"/>
    </xf>
    <xf numFmtId="0" fontId="100" fillId="65" borderId="32" xfId="9" applyFont="1" applyFill="1" applyBorder="1" applyAlignment="1" applyProtection="1">
      <alignment vertical="center" wrapText="1"/>
    </xf>
    <xf numFmtId="4" fontId="102" fillId="65" borderId="32" xfId="9" applyNumberFormat="1" applyFont="1" applyFill="1" applyBorder="1" applyAlignment="1" applyProtection="1">
      <alignment horizontal="center" vertical="center" wrapText="1"/>
    </xf>
    <xf numFmtId="43" fontId="102" fillId="71" borderId="27" xfId="3225" applyFont="1" applyFill="1" applyBorder="1" applyAlignment="1" applyProtection="1">
      <alignment horizontal="right" vertical="center" wrapText="1" indent="1"/>
    </xf>
    <xf numFmtId="43" fontId="100" fillId="71" borderId="27" xfId="3225" applyFont="1" applyFill="1" applyBorder="1" applyAlignment="1" applyProtection="1">
      <alignment horizontal="right" vertical="center" wrapText="1" indent="1"/>
    </xf>
    <xf numFmtId="4" fontId="102" fillId="71" borderId="27" xfId="3225" applyNumberFormat="1" applyFont="1" applyFill="1" applyBorder="1" applyAlignment="1" applyProtection="1">
      <alignment horizontal="center" vertical="center" wrapText="1"/>
    </xf>
    <xf numFmtId="0" fontId="84" fillId="0" borderId="27" xfId="0" applyFont="1" applyBorder="1" applyAlignment="1" applyProtection="1">
      <alignment horizontal="right" vertical="center" wrapText="1"/>
    </xf>
    <xf numFmtId="0" fontId="85" fillId="70" borderId="31" xfId="9" applyFont="1" applyFill="1" applyBorder="1" applyAlignment="1" applyProtection="1">
      <alignment horizontal="justify" vertical="center"/>
    </xf>
    <xf numFmtId="0" fontId="85" fillId="70" borderId="32" xfId="9" applyFont="1" applyFill="1" applyBorder="1" applyAlignment="1" applyProtection="1">
      <alignment horizontal="justify" vertical="center"/>
    </xf>
    <xf numFmtId="0" fontId="85" fillId="70" borderId="32" xfId="9" applyFont="1" applyFill="1" applyBorder="1" applyAlignment="1" applyProtection="1">
      <alignment horizontal="left" vertical="top"/>
    </xf>
    <xf numFmtId="0" fontId="102" fillId="70" borderId="32" xfId="9" applyFont="1" applyFill="1" applyBorder="1" applyAlignment="1" applyProtection="1">
      <alignment horizontal="left" vertical="top"/>
    </xf>
    <xf numFmtId="0" fontId="100" fillId="70" borderId="32" xfId="9" applyFont="1" applyFill="1" applyBorder="1" applyAlignment="1" applyProtection="1">
      <alignment horizontal="left" vertical="top"/>
    </xf>
    <xf numFmtId="4" fontId="102" fillId="70" borderId="33" xfId="9" applyNumberFormat="1" applyFont="1" applyFill="1" applyBorder="1" applyAlignment="1" applyProtection="1">
      <alignment horizontal="center" vertical="top"/>
    </xf>
    <xf numFmtId="43" fontId="102" fillId="0" borderId="27" xfId="3225" applyFont="1" applyFill="1" applyBorder="1" applyAlignment="1" applyProtection="1">
      <alignment horizontal="center" vertical="center" wrapText="1"/>
    </xf>
    <xf numFmtId="0" fontId="99" fillId="70" borderId="32" xfId="9" applyFont="1" applyFill="1" applyBorder="1" applyAlignment="1" applyProtection="1">
      <alignment horizontal="center" vertical="center" wrapText="1"/>
    </xf>
    <xf numFmtId="4" fontId="102" fillId="70" borderId="32" xfId="8" applyNumberFormat="1" applyFont="1" applyFill="1" applyBorder="1" applyAlignment="1" applyProtection="1">
      <alignment horizontal="center" vertical="center" wrapText="1"/>
    </xf>
    <xf numFmtId="4" fontId="100" fillId="70" borderId="32" xfId="8" applyNumberFormat="1" applyFont="1" applyFill="1" applyBorder="1" applyAlignment="1" applyProtection="1">
      <alignment horizontal="center" vertical="center" wrapText="1"/>
    </xf>
    <xf numFmtId="4" fontId="100" fillId="70" borderId="33" xfId="8" applyNumberFormat="1" applyFont="1" applyFill="1" applyBorder="1" applyAlignment="1" applyProtection="1">
      <alignment horizontal="center" vertical="center" wrapText="1"/>
    </xf>
    <xf numFmtId="0" fontId="100" fillId="0" borderId="27" xfId="9" applyFont="1" applyFill="1" applyBorder="1" applyAlignment="1" applyProtection="1">
      <alignment horizontal="left" vertical="center" wrapText="1" indent="1"/>
    </xf>
    <xf numFmtId="0" fontId="103" fillId="70" borderId="27" xfId="9" applyFont="1" applyFill="1" applyBorder="1" applyAlignment="1" applyProtection="1">
      <alignment vertical="center"/>
    </xf>
    <xf numFmtId="0" fontId="99" fillId="70" borderId="38" xfId="9" applyFont="1" applyFill="1" applyBorder="1" applyAlignment="1" applyProtection="1">
      <alignment vertical="center" wrapText="1"/>
    </xf>
    <xf numFmtId="0" fontId="103" fillId="70" borderId="31" xfId="9" applyFont="1" applyFill="1" applyBorder="1" applyAlignment="1" applyProtection="1">
      <alignment horizontal="left" vertical="center"/>
    </xf>
    <xf numFmtId="0" fontId="103" fillId="70" borderId="32" xfId="9" applyFont="1" applyFill="1" applyBorder="1" applyAlignment="1" applyProtection="1">
      <alignment vertical="center" wrapText="1"/>
    </xf>
    <xf numFmtId="4" fontId="102" fillId="70" borderId="32" xfId="8" applyNumberFormat="1" applyFont="1" applyFill="1" applyBorder="1" applyAlignment="1" applyProtection="1">
      <alignment horizontal="right" vertical="center" wrapText="1" indent="1"/>
    </xf>
    <xf numFmtId="4" fontId="102" fillId="70" borderId="33" xfId="8" applyNumberFormat="1" applyFont="1" applyFill="1" applyBorder="1" applyAlignment="1" applyProtection="1">
      <alignment horizontal="center" vertical="center" wrapText="1"/>
    </xf>
    <xf numFmtId="49" fontId="84" fillId="0" borderId="27" xfId="9" applyNumberFormat="1" applyFont="1" applyFill="1" applyBorder="1" applyAlignment="1" applyProtection="1">
      <alignment horizontal="left" vertical="center" wrapText="1" indent="1"/>
    </xf>
    <xf numFmtId="0" fontId="84" fillId="0" borderId="27" xfId="9" applyFont="1" applyFill="1" applyBorder="1" applyAlignment="1" applyProtection="1">
      <alignment horizontal="justify" vertical="center" wrapText="1"/>
    </xf>
    <xf numFmtId="2" fontId="127" fillId="0" borderId="27" xfId="0" applyNumberFormat="1" applyFont="1" applyFill="1" applyBorder="1" applyAlignment="1" applyProtection="1">
      <alignment horizontal="right" vertical="center" indent="1"/>
    </xf>
    <xf numFmtId="2" fontId="100" fillId="0" borderId="27" xfId="0" applyNumberFormat="1" applyFont="1" applyFill="1" applyBorder="1" applyAlignment="1" applyProtection="1">
      <alignment horizontal="right" vertical="center" indent="1"/>
    </xf>
    <xf numFmtId="0" fontId="84" fillId="0" borderId="27" xfId="9" applyFont="1" applyFill="1" applyBorder="1" applyAlignment="1" applyProtection="1">
      <alignment horizontal="left" vertical="center" wrapText="1" indent="1"/>
    </xf>
    <xf numFmtId="0" fontId="103" fillId="70" borderId="27" xfId="9" applyFont="1" applyFill="1" applyBorder="1" applyAlignment="1" applyProtection="1">
      <alignment horizontal="left" vertical="center"/>
    </xf>
    <xf numFmtId="0" fontId="103" fillId="70" borderId="31" xfId="9" applyFont="1" applyFill="1" applyBorder="1" applyAlignment="1" applyProtection="1">
      <alignment vertical="center" wrapText="1"/>
    </xf>
    <xf numFmtId="0" fontId="103" fillId="70" borderId="32" xfId="9" applyFont="1" applyFill="1" applyBorder="1" applyAlignment="1" applyProtection="1">
      <alignment horizontal="left" vertical="center"/>
    </xf>
    <xf numFmtId="4" fontId="100" fillId="0" borderId="33" xfId="8" applyNumberFormat="1" applyFont="1" applyFill="1" applyBorder="1" applyAlignment="1" applyProtection="1">
      <alignment horizontal="center" vertical="center" wrapText="1"/>
    </xf>
    <xf numFmtId="4" fontId="127" fillId="0" borderId="27" xfId="6" applyNumberFormat="1" applyFont="1" applyFill="1" applyBorder="1" applyAlignment="1" applyProtection="1">
      <alignment horizontal="center" vertical="center"/>
    </xf>
    <xf numFmtId="0" fontId="103" fillId="70" borderId="32" xfId="9" applyFont="1" applyFill="1" applyBorder="1" applyAlignment="1" applyProtection="1">
      <alignment vertical="center"/>
    </xf>
    <xf numFmtId="49" fontId="84" fillId="0" borderId="0" xfId="0" applyNumberFormat="1" applyFont="1" applyFill="1" applyBorder="1" applyAlignment="1" applyProtection="1">
      <alignment horizontal="center" vertical="center" wrapText="1"/>
    </xf>
    <xf numFmtId="0" fontId="86" fillId="0" borderId="0" xfId="0" applyFont="1" applyBorder="1" applyAlignment="1" applyProtection="1">
      <alignment horizontal="left" vertical="center" wrapText="1" indent="1"/>
    </xf>
    <xf numFmtId="0" fontId="111" fillId="69" borderId="34" xfId="0" applyFont="1" applyFill="1" applyBorder="1" applyProtection="1"/>
    <xf numFmtId="0" fontId="105" fillId="69" borderId="34" xfId="0" applyFont="1" applyFill="1" applyBorder="1" applyAlignment="1" applyProtection="1">
      <alignment horizontal="left" wrapText="1"/>
    </xf>
    <xf numFmtId="0" fontId="111" fillId="69" borderId="34" xfId="0" applyFont="1" applyFill="1" applyBorder="1" applyAlignment="1" applyProtection="1">
      <alignment horizontal="center"/>
    </xf>
    <xf numFmtId="0" fontId="102" fillId="69" borderId="34" xfId="0" applyFont="1" applyFill="1" applyBorder="1" applyAlignment="1" applyProtection="1">
      <alignment horizontal="center"/>
    </xf>
    <xf numFmtId="0" fontId="100" fillId="69" borderId="34" xfId="0" applyFont="1" applyFill="1" applyBorder="1" applyAlignment="1" applyProtection="1">
      <alignment horizontal="center"/>
    </xf>
    <xf numFmtId="4" fontId="102" fillId="69" borderId="34" xfId="0" applyNumberFormat="1" applyFont="1" applyFill="1" applyBorder="1" applyAlignment="1" applyProtection="1">
      <alignment horizontal="center"/>
    </xf>
    <xf numFmtId="0" fontId="86" fillId="0" borderId="27" xfId="0" applyFont="1" applyBorder="1" applyAlignment="1" applyProtection="1">
      <alignment horizontal="center"/>
    </xf>
    <xf numFmtId="0" fontId="86" fillId="0" borderId="31" xfId="0" applyFont="1" applyBorder="1" applyAlignment="1" applyProtection="1"/>
    <xf numFmtId="0" fontId="86" fillId="0" borderId="32" xfId="0" applyFont="1" applyBorder="1" applyAlignment="1" applyProtection="1"/>
    <xf numFmtId="0" fontId="102" fillId="0" borderId="32" xfId="0" applyFont="1" applyBorder="1" applyAlignment="1" applyProtection="1"/>
    <xf numFmtId="0" fontId="100" fillId="0" borderId="32" xfId="0" applyFont="1" applyBorder="1" applyAlignment="1" applyProtection="1"/>
    <xf numFmtId="4" fontId="102" fillId="0" borderId="32" xfId="0" applyNumberFormat="1" applyFont="1" applyBorder="1" applyAlignment="1" applyProtection="1">
      <alignment horizontal="center"/>
    </xf>
    <xf numFmtId="0" fontId="86" fillId="0" borderId="33" xfId="0" applyFont="1" applyBorder="1" applyAlignment="1" applyProtection="1"/>
    <xf numFmtId="0" fontId="86" fillId="0" borderId="31" xfId="0" applyFont="1" applyBorder="1" applyProtection="1"/>
    <xf numFmtId="0" fontId="86" fillId="0" borderId="32" xfId="0" applyFont="1" applyBorder="1" applyProtection="1"/>
    <xf numFmtId="0" fontId="102" fillId="0" borderId="32" xfId="0" applyFont="1" applyBorder="1" applyProtection="1"/>
    <xf numFmtId="0" fontId="100" fillId="0" borderId="32" xfId="0" applyFont="1" applyBorder="1" applyProtection="1"/>
    <xf numFmtId="4" fontId="102" fillId="0" borderId="32" xfId="0" applyNumberFormat="1" applyFont="1" applyFill="1" applyBorder="1" applyAlignment="1" applyProtection="1">
      <alignment horizontal="center"/>
    </xf>
    <xf numFmtId="0" fontId="86" fillId="0" borderId="33" xfId="0" applyFont="1" applyBorder="1" applyProtection="1"/>
    <xf numFmtId="0" fontId="86" fillId="0" borderId="32" xfId="0" applyFont="1" applyBorder="1" applyAlignment="1" applyProtection="1">
      <alignment horizontal="center"/>
    </xf>
    <xf numFmtId="0" fontId="102" fillId="0" borderId="32" xfId="0" applyFont="1" applyBorder="1" applyAlignment="1" applyProtection="1">
      <alignment horizontal="center"/>
    </xf>
    <xf numFmtId="0" fontId="100" fillId="0" borderId="32" xfId="0" applyFont="1" applyBorder="1" applyAlignment="1" applyProtection="1">
      <alignment horizontal="center"/>
    </xf>
    <xf numFmtId="0" fontId="86" fillId="0" borderId="33" xfId="0" applyFont="1" applyBorder="1" applyAlignment="1" applyProtection="1">
      <alignment horizontal="center"/>
    </xf>
    <xf numFmtId="0" fontId="86" fillId="0" borderId="46" xfId="0" applyFont="1" applyBorder="1" applyProtection="1"/>
    <xf numFmtId="0" fontId="86" fillId="0" borderId="34" xfId="0" applyFont="1" applyBorder="1" applyProtection="1"/>
    <xf numFmtId="0" fontId="86" fillId="0" borderId="34" xfId="0" applyFont="1" applyBorder="1" applyAlignment="1" applyProtection="1">
      <alignment horizontal="center"/>
    </xf>
    <xf numFmtId="0" fontId="102" fillId="0" borderId="34" xfId="0" applyFont="1" applyBorder="1" applyAlignment="1" applyProtection="1">
      <alignment horizontal="center"/>
    </xf>
    <xf numFmtId="0" fontId="100" fillId="0" borderId="34" xfId="0" applyFont="1" applyBorder="1" applyAlignment="1" applyProtection="1">
      <alignment horizontal="center"/>
    </xf>
    <xf numFmtId="4" fontId="102" fillId="0" borderId="34" xfId="0" applyNumberFormat="1" applyFont="1" applyFill="1" applyBorder="1" applyAlignment="1" applyProtection="1">
      <alignment horizontal="center"/>
    </xf>
    <xf numFmtId="0" fontId="86" fillId="0" borderId="35" xfId="0" applyFont="1" applyBorder="1" applyAlignment="1" applyProtection="1">
      <alignment horizontal="center"/>
    </xf>
    <xf numFmtId="0" fontId="86" fillId="0" borderId="29" xfId="0" applyFont="1" applyBorder="1" applyAlignment="1" applyProtection="1">
      <alignment horizontal="center"/>
    </xf>
    <xf numFmtId="0" fontId="86" fillId="0" borderId="41" xfId="0" applyFont="1" applyBorder="1" applyProtection="1"/>
    <xf numFmtId="0" fontId="86" fillId="0" borderId="42" xfId="0" applyFont="1" applyBorder="1" applyProtection="1"/>
    <xf numFmtId="0" fontId="86" fillId="0" borderId="42" xfId="0" applyFont="1" applyBorder="1" applyAlignment="1" applyProtection="1">
      <alignment horizontal="center"/>
    </xf>
    <xf numFmtId="0" fontId="102" fillId="0" borderId="42" xfId="0" applyFont="1" applyBorder="1" applyAlignment="1" applyProtection="1">
      <alignment horizontal="center"/>
    </xf>
    <xf numFmtId="0" fontId="100" fillId="0" borderId="42" xfId="0" applyFont="1" applyBorder="1" applyAlignment="1" applyProtection="1">
      <alignment horizontal="center"/>
    </xf>
    <xf numFmtId="4" fontId="102" fillId="0" borderId="42" xfId="0" applyNumberFormat="1" applyFont="1" applyFill="1" applyBorder="1" applyAlignment="1" applyProtection="1">
      <alignment horizontal="center"/>
    </xf>
    <xf numFmtId="0" fontId="86" fillId="0" borderId="43" xfId="0" applyFont="1" applyBorder="1" applyAlignment="1" applyProtection="1">
      <alignment horizontal="center"/>
    </xf>
    <xf numFmtId="0" fontId="86" fillId="0" borderId="30" xfId="0" applyFont="1" applyBorder="1" applyAlignment="1" applyProtection="1">
      <alignment horizontal="center"/>
    </xf>
    <xf numFmtId="0" fontId="86" fillId="0" borderId="47" xfId="0" applyFont="1" applyBorder="1" applyAlignment="1" applyProtection="1">
      <alignment horizontal="center"/>
    </xf>
    <xf numFmtId="0" fontId="86" fillId="0" borderId="44" xfId="0" applyFont="1" applyBorder="1" applyProtection="1"/>
    <xf numFmtId="0" fontId="86" fillId="0" borderId="0" xfId="0" applyFont="1" applyBorder="1" applyProtection="1"/>
    <xf numFmtId="0" fontId="86" fillId="0" borderId="0" xfId="0" applyFont="1" applyBorder="1" applyAlignment="1" applyProtection="1">
      <alignment horizontal="center"/>
    </xf>
    <xf numFmtId="0" fontId="102" fillId="0" borderId="0" xfId="0" applyFont="1" applyBorder="1" applyAlignment="1" applyProtection="1">
      <alignment horizontal="center"/>
    </xf>
    <xf numFmtId="0" fontId="100" fillId="0" borderId="0" xfId="0" applyFont="1" applyBorder="1" applyAlignment="1" applyProtection="1">
      <alignment horizontal="center"/>
    </xf>
    <xf numFmtId="0" fontId="86" fillId="0" borderId="45" xfId="0" applyFont="1" applyBorder="1" applyAlignment="1" applyProtection="1">
      <alignment horizontal="center"/>
    </xf>
    <xf numFmtId="0" fontId="98" fillId="70" borderId="27" xfId="0" applyFont="1" applyFill="1" applyBorder="1" applyAlignment="1" applyProtection="1">
      <alignment horizontal="justify" vertical="center" wrapText="1"/>
    </xf>
    <xf numFmtId="0" fontId="90" fillId="0" borderId="27" xfId="0" applyFont="1" applyFill="1" applyBorder="1" applyAlignment="1" applyProtection="1">
      <alignment horizontal="center" vertical="center" wrapText="1"/>
    </xf>
    <xf numFmtId="4" fontId="88" fillId="0" borderId="43" xfId="0" applyNumberFormat="1" applyFont="1" applyBorder="1" applyAlignment="1" applyProtection="1">
      <alignment horizontal="left" vertical="center" wrapText="1" indent="1"/>
    </xf>
    <xf numFmtId="4" fontId="88" fillId="0" borderId="45" xfId="0" applyNumberFormat="1" applyFont="1" applyBorder="1" applyAlignment="1" applyProtection="1">
      <alignment horizontal="left" vertical="center" wrapText="1" indent="1"/>
    </xf>
    <xf numFmtId="0" fontId="86" fillId="0" borderId="27" xfId="8" applyFont="1" applyFill="1" applyBorder="1" applyAlignment="1" applyProtection="1">
      <alignment horizontal="center" vertical="center" wrapText="1"/>
    </xf>
    <xf numFmtId="4" fontId="84" fillId="71" borderId="27" xfId="0" applyNumberFormat="1" applyFont="1" applyFill="1" applyBorder="1" applyAlignment="1" applyProtection="1">
      <alignment horizontal="left" vertical="center" wrapText="1" indent="1"/>
    </xf>
    <xf numFmtId="4" fontId="88" fillId="0" borderId="27" xfId="0" applyNumberFormat="1" applyFont="1" applyBorder="1" applyAlignment="1" applyProtection="1">
      <alignment horizontal="justify" vertical="center" wrapText="1"/>
    </xf>
    <xf numFmtId="4" fontId="88" fillId="0" borderId="43" xfId="0" applyNumberFormat="1" applyFont="1" applyBorder="1" applyAlignment="1" applyProtection="1">
      <alignment horizontal="justify" vertical="center" wrapText="1"/>
    </xf>
    <xf numFmtId="4" fontId="88" fillId="0" borderId="45" xfId="0" applyNumberFormat="1" applyFont="1" applyBorder="1" applyAlignment="1" applyProtection="1">
      <alignment horizontal="justify" vertical="center" wrapText="1"/>
    </xf>
    <xf numFmtId="4" fontId="88" fillId="0" borderId="35" xfId="0" applyNumberFormat="1" applyFont="1" applyBorder="1" applyAlignment="1" applyProtection="1">
      <alignment horizontal="justify" vertical="center" wrapText="1"/>
    </xf>
    <xf numFmtId="0" fontId="85" fillId="70" borderId="33" xfId="9" applyFont="1" applyFill="1" applyBorder="1" applyAlignment="1" applyProtection="1">
      <alignment vertical="center" wrapText="1"/>
    </xf>
    <xf numFmtId="0" fontId="89" fillId="70" borderId="27" xfId="0" applyFont="1" applyFill="1" applyBorder="1" applyAlignment="1" applyProtection="1">
      <alignment vertical="center" wrapText="1"/>
    </xf>
    <xf numFmtId="4" fontId="95" fillId="0" borderId="27" xfId="0" applyNumberFormat="1" applyFont="1" applyBorder="1" applyAlignment="1" applyProtection="1">
      <alignment horizontal="justify" vertical="center" wrapText="1"/>
    </xf>
    <xf numFmtId="4" fontId="95" fillId="0" borderId="27" xfId="0" applyNumberFormat="1" applyFont="1" applyFill="1" applyBorder="1" applyAlignment="1" applyProtection="1">
      <alignment horizontal="justify" vertical="center" wrapText="1"/>
    </xf>
    <xf numFmtId="0" fontId="86" fillId="71" borderId="27" xfId="0" quotePrefix="1" applyFont="1" applyFill="1" applyBorder="1" applyAlignment="1" applyProtection="1">
      <alignment horizontal="justify" vertical="center" wrapText="1"/>
    </xf>
    <xf numFmtId="4" fontId="84" fillId="71" borderId="27" xfId="8" applyNumberFormat="1" applyFont="1" applyFill="1" applyBorder="1" applyAlignment="1" applyProtection="1">
      <alignment horizontal="justify" vertical="center" wrapText="1"/>
    </xf>
    <xf numFmtId="0" fontId="88" fillId="71" borderId="27" xfId="0" applyFont="1" applyFill="1" applyBorder="1" applyAlignment="1" applyProtection="1">
      <alignment horizontal="justify" vertical="center" wrapText="1"/>
    </xf>
    <xf numFmtId="0" fontId="118" fillId="0" borderId="27" xfId="0" applyFont="1" applyBorder="1" applyAlignment="1" applyProtection="1">
      <alignment horizontal="justify" vertical="center" wrapText="1"/>
    </xf>
    <xf numFmtId="0" fontId="88" fillId="0" borderId="43" xfId="0" applyFont="1" applyBorder="1" applyAlignment="1" applyProtection="1">
      <alignment horizontal="left" vertical="center" wrapText="1" indent="1"/>
    </xf>
    <xf numFmtId="0" fontId="88" fillId="0" borderId="45" xfId="0" applyFont="1" applyBorder="1" applyAlignment="1" applyProtection="1">
      <alignment horizontal="left" vertical="center" wrapText="1" indent="1"/>
    </xf>
    <xf numFmtId="0" fontId="88" fillId="0" borderId="35" xfId="0" applyFont="1" applyBorder="1" applyAlignment="1" applyProtection="1">
      <alignment horizontal="left" vertical="center" wrapText="1" indent="1"/>
    </xf>
    <xf numFmtId="0" fontId="99" fillId="70" borderId="33" xfId="9" applyFont="1" applyFill="1" applyBorder="1" applyAlignment="1" applyProtection="1">
      <alignment vertical="center" wrapText="1"/>
    </xf>
    <xf numFmtId="0" fontId="99" fillId="70" borderId="27" xfId="0" applyFont="1" applyFill="1" applyBorder="1" applyAlignment="1" applyProtection="1">
      <alignment vertical="center" wrapText="1"/>
    </xf>
    <xf numFmtId="0" fontId="118" fillId="0" borderId="27" xfId="0" applyFont="1" applyFill="1" applyBorder="1" applyAlignment="1" applyProtection="1">
      <alignment vertical="center" wrapText="1"/>
    </xf>
    <xf numFmtId="0" fontId="118" fillId="0" borderId="27" xfId="0" applyFont="1" applyFill="1" applyBorder="1" applyAlignment="1" applyProtection="1">
      <alignment horizontal="justify" vertical="center" wrapText="1"/>
    </xf>
    <xf numFmtId="0" fontId="118" fillId="0" borderId="27" xfId="0" applyFont="1" applyBorder="1" applyAlignment="1" applyProtection="1">
      <alignment horizontal="left" vertical="center" wrapText="1" indent="1"/>
    </xf>
    <xf numFmtId="0" fontId="87" fillId="70" borderId="27" xfId="0" applyFont="1" applyFill="1" applyBorder="1" applyAlignment="1" applyProtection="1">
      <alignment horizontal="center" vertical="center" wrapText="1"/>
    </xf>
    <xf numFmtId="0" fontId="118" fillId="0" borderId="27" xfId="8" applyFont="1" applyBorder="1" applyAlignment="1" applyProtection="1">
      <alignment horizontal="justify" vertical="center" wrapText="1"/>
    </xf>
    <xf numFmtId="0" fontId="118" fillId="0" borderId="29" xfId="0" applyFont="1" applyBorder="1" applyAlignment="1" applyProtection="1">
      <alignment horizontal="justify" vertical="center" wrapText="1"/>
    </xf>
    <xf numFmtId="4" fontId="118" fillId="0" borderId="27" xfId="0" applyNumberFormat="1" applyFont="1" applyBorder="1" applyAlignment="1" applyProtection="1">
      <alignment horizontal="justify" vertical="center" wrapText="1"/>
    </xf>
    <xf numFmtId="4" fontId="118" fillId="0" borderId="27" xfId="0" applyNumberFormat="1" applyFont="1" applyFill="1" applyBorder="1" applyAlignment="1" applyProtection="1">
      <alignment horizontal="justify" vertical="center" wrapText="1"/>
    </xf>
    <xf numFmtId="0" fontId="93" fillId="70" borderId="27" xfId="0" applyFont="1" applyFill="1" applyBorder="1" applyAlignment="1" applyProtection="1">
      <alignment horizontal="justify" vertical="center" wrapText="1"/>
    </xf>
    <xf numFmtId="0" fontId="95" fillId="0" borderId="27" xfId="0" applyFont="1" applyFill="1" applyBorder="1" applyAlignment="1" applyProtection="1">
      <alignment horizontal="justify" vertical="center" wrapText="1"/>
    </xf>
    <xf numFmtId="4" fontId="85" fillId="71" borderId="27" xfId="8" applyNumberFormat="1" applyFont="1" applyFill="1" applyBorder="1" applyAlignment="1" applyProtection="1">
      <alignment horizontal="right" vertical="center" wrapText="1" indent="1"/>
    </xf>
    <xf numFmtId="4" fontId="88" fillId="71" borderId="33" xfId="0" applyNumberFormat="1" applyFont="1" applyFill="1" applyBorder="1" applyAlignment="1" applyProtection="1">
      <alignment horizontal="justify" vertical="center" wrapText="1"/>
    </xf>
    <xf numFmtId="0" fontId="88" fillId="0" borderId="43" xfId="0" applyFont="1" applyBorder="1" applyAlignment="1" applyProtection="1">
      <alignment horizontal="justify" vertical="center" wrapText="1"/>
    </xf>
    <xf numFmtId="0" fontId="88" fillId="0" borderId="45" xfId="0" applyFont="1" applyBorder="1" applyAlignment="1" applyProtection="1">
      <alignment horizontal="justify" vertical="center" wrapText="1"/>
    </xf>
    <xf numFmtId="0" fontId="88" fillId="0" borderId="35" xfId="0" applyFont="1" applyBorder="1" applyAlignment="1" applyProtection="1">
      <alignment horizontal="justify" vertical="center" wrapText="1"/>
    </xf>
    <xf numFmtId="0" fontId="100" fillId="70" borderId="27" xfId="0" applyFont="1" applyFill="1" applyBorder="1" applyAlignment="1" applyProtection="1">
      <alignment horizontal="left" vertical="center" wrapText="1" indent="1"/>
    </xf>
    <xf numFmtId="0" fontId="99" fillId="70" borderId="27" xfId="9" applyFont="1" applyFill="1" applyBorder="1" applyAlignment="1" applyProtection="1">
      <alignment vertical="center" wrapText="1"/>
    </xf>
    <xf numFmtId="0" fontId="99" fillId="65" borderId="27" xfId="9" applyFont="1" applyFill="1" applyBorder="1" applyAlignment="1" applyProtection="1">
      <alignment vertical="center" wrapText="1"/>
    </xf>
    <xf numFmtId="0" fontId="85" fillId="65" borderId="27" xfId="9" applyFont="1" applyFill="1" applyBorder="1" applyAlignment="1" applyProtection="1">
      <alignment vertical="center" wrapText="1"/>
    </xf>
    <xf numFmtId="0" fontId="85" fillId="70" borderId="27" xfId="9" applyFont="1" applyFill="1" applyBorder="1" applyAlignment="1" applyProtection="1">
      <alignment horizontal="justify" vertical="center"/>
    </xf>
    <xf numFmtId="4" fontId="99" fillId="70" borderId="33" xfId="8" applyNumberFormat="1" applyFont="1" applyFill="1" applyBorder="1" applyAlignment="1" applyProtection="1">
      <alignment horizontal="center" vertical="center" wrapText="1"/>
    </xf>
    <xf numFmtId="0" fontId="99" fillId="70" borderId="27" xfId="9" applyFont="1" applyFill="1" applyBorder="1" applyAlignment="1" applyProtection="1">
      <alignment horizontal="left" vertical="center" wrapText="1" indent="1"/>
    </xf>
    <xf numFmtId="4" fontId="99" fillId="70" borderId="27" xfId="8" applyNumberFormat="1" applyFont="1" applyFill="1" applyBorder="1" applyAlignment="1" applyProtection="1">
      <alignment horizontal="left" vertical="center" wrapText="1"/>
    </xf>
    <xf numFmtId="4" fontId="99" fillId="70" borderId="27" xfId="8" applyNumberFormat="1" applyFont="1" applyFill="1" applyBorder="1" applyAlignment="1" applyProtection="1">
      <alignment horizontal="center" vertical="center" wrapText="1"/>
    </xf>
    <xf numFmtId="200" fontId="114" fillId="67" borderId="28" xfId="0" applyNumberFormat="1" applyFont="1" applyFill="1" applyBorder="1" applyAlignment="1" applyProtection="1">
      <alignment horizontal="center" vertical="center"/>
      <protection locked="0"/>
    </xf>
    <xf numFmtId="49" fontId="84" fillId="0" borderId="27" xfId="0" applyNumberFormat="1" applyFont="1" applyFill="1" applyBorder="1" applyAlignment="1" applyProtection="1">
      <alignment horizontal="center" vertical="center" wrapText="1"/>
    </xf>
    <xf numFmtId="0" fontId="86" fillId="0" borderId="27" xfId="0" applyFont="1" applyFill="1" applyBorder="1" applyAlignment="1" applyProtection="1">
      <alignment horizontal="justify" vertical="center" wrapText="1"/>
    </xf>
    <xf numFmtId="4" fontId="93" fillId="0" borderId="27" xfId="0" applyNumberFormat="1" applyFont="1" applyBorder="1" applyAlignment="1" applyProtection="1">
      <alignment horizontal="left" vertical="center"/>
    </xf>
    <xf numFmtId="4" fontId="118" fillId="71" borderId="27" xfId="8" applyNumberFormat="1" applyFont="1" applyFill="1" applyBorder="1" applyAlignment="1" applyProtection="1">
      <alignment horizontal="center" vertical="center" wrapText="1"/>
    </xf>
    <xf numFmtId="4" fontId="118" fillId="71" borderId="27" xfId="8" applyNumberFormat="1" applyFont="1" applyFill="1" applyBorder="1" applyAlignment="1" applyProtection="1">
      <alignment horizontal="left" vertical="center" wrapText="1" indent="1"/>
    </xf>
    <xf numFmtId="4" fontId="93" fillId="71" borderId="27" xfId="8" applyNumberFormat="1" applyFont="1" applyFill="1" applyBorder="1" applyAlignment="1" applyProtection="1">
      <alignment horizontal="left" vertical="center"/>
    </xf>
    <xf numFmtId="0" fontId="80" fillId="73" borderId="0" xfId="0" applyFont="1" applyFill="1" applyBorder="1"/>
    <xf numFmtId="4" fontId="102" fillId="0" borderId="27" xfId="762" applyNumberFormat="1" applyFont="1" applyFill="1" applyBorder="1" applyAlignment="1" applyProtection="1">
      <alignment horizontal="right" vertical="center"/>
    </xf>
    <xf numFmtId="4" fontId="102" fillId="0" borderId="27" xfId="8" applyNumberFormat="1" applyFont="1" applyFill="1" applyBorder="1" applyAlignment="1" applyProtection="1">
      <alignment horizontal="right" vertical="center" indent="1"/>
    </xf>
    <xf numFmtId="0" fontId="103" fillId="70" borderId="27" xfId="0" applyFont="1" applyFill="1" applyBorder="1" applyAlignment="1" applyProtection="1">
      <alignment horizontal="left" vertical="center" wrapText="1" indent="1"/>
    </xf>
    <xf numFmtId="0" fontId="103" fillId="70" borderId="31" xfId="0" applyFont="1" applyFill="1" applyBorder="1" applyAlignment="1" applyProtection="1">
      <alignment horizontal="left" vertical="center" wrapText="1" indent="1"/>
    </xf>
    <xf numFmtId="49" fontId="84" fillId="0" borderId="27" xfId="0" applyNumberFormat="1" applyFont="1" applyFill="1" applyBorder="1" applyAlignment="1" applyProtection="1">
      <alignment horizontal="center" vertical="center" wrapText="1"/>
    </xf>
    <xf numFmtId="0" fontId="106" fillId="69" borderId="0" xfId="0" applyFont="1" applyFill="1" applyBorder="1" applyAlignment="1" applyProtection="1">
      <alignment horizontal="center" vertical="center"/>
    </xf>
    <xf numFmtId="0" fontId="84" fillId="71" borderId="27" xfId="8" applyFont="1" applyFill="1" applyBorder="1" applyAlignment="1" applyProtection="1">
      <alignment horizontal="left" vertical="center" wrapText="1" indent="1"/>
    </xf>
    <xf numFmtId="0" fontId="86" fillId="0" borderId="27" xfId="8" applyFont="1" applyBorder="1" applyAlignment="1" applyProtection="1">
      <alignment horizontal="justify" vertical="center" wrapText="1"/>
    </xf>
    <xf numFmtId="0" fontId="103" fillId="70" borderId="30" xfId="0" applyFont="1" applyFill="1" applyBorder="1" applyAlignment="1" applyProtection="1">
      <alignment horizontal="left" vertical="center" wrapText="1" indent="1"/>
    </xf>
    <xf numFmtId="0" fontId="86" fillId="0" borderId="27" xfId="0" applyFont="1" applyFill="1" applyBorder="1" applyAlignment="1" applyProtection="1">
      <alignment horizontal="justify" vertical="center" wrapText="1"/>
    </xf>
    <xf numFmtId="0" fontId="101" fillId="70" borderId="32" xfId="9" applyFont="1" applyFill="1" applyBorder="1" applyAlignment="1" applyProtection="1">
      <alignment horizontal="left" vertical="center" wrapText="1"/>
    </xf>
    <xf numFmtId="0" fontId="101" fillId="70" borderId="31" xfId="9" applyFont="1" applyFill="1" applyBorder="1" applyAlignment="1" applyProtection="1">
      <alignment horizontal="left" vertical="center" wrapText="1"/>
    </xf>
    <xf numFmtId="0" fontId="103" fillId="70" borderId="27" xfId="0" applyFont="1" applyFill="1" applyBorder="1" applyAlignment="1" applyProtection="1">
      <alignment horizontal="justify" vertical="center" wrapText="1"/>
    </xf>
    <xf numFmtId="0" fontId="103" fillId="70" borderId="31" xfId="0" applyFont="1" applyFill="1" applyBorder="1" applyAlignment="1" applyProtection="1">
      <alignment horizontal="justify" vertical="center" wrapText="1"/>
    </xf>
    <xf numFmtId="0" fontId="103" fillId="70" borderId="27" xfId="9" applyFont="1" applyFill="1" applyBorder="1" applyAlignment="1" applyProtection="1">
      <alignment horizontal="left" vertical="center" wrapText="1" indent="1"/>
    </xf>
    <xf numFmtId="0" fontId="103" fillId="70" borderId="31" xfId="9" applyFont="1" applyFill="1" applyBorder="1" applyAlignment="1" applyProtection="1">
      <alignment horizontal="left" vertical="center" wrapText="1" indent="1"/>
    </xf>
    <xf numFmtId="0" fontId="118" fillId="0" borderId="29" xfId="0" applyFont="1" applyBorder="1" applyAlignment="1" applyProtection="1">
      <alignment horizontal="left" vertical="center" wrapText="1"/>
    </xf>
    <xf numFmtId="0" fontId="118" fillId="0" borderId="47" xfId="0" applyFont="1" applyBorder="1" applyAlignment="1" applyProtection="1">
      <alignment horizontal="left" vertical="center" wrapText="1"/>
    </xf>
    <xf numFmtId="0" fontId="118" fillId="0" borderId="30" xfId="0" applyFont="1" applyBorder="1" applyAlignment="1" applyProtection="1">
      <alignment horizontal="left" vertical="center" wrapText="1"/>
    </xf>
    <xf numFmtId="0" fontId="118" fillId="71" borderId="29" xfId="0" applyFont="1" applyFill="1" applyBorder="1" applyAlignment="1" applyProtection="1">
      <alignment horizontal="left" vertical="center" wrapText="1"/>
    </xf>
    <xf numFmtId="0" fontId="118" fillId="71" borderId="47" xfId="0" applyFont="1" applyFill="1" applyBorder="1" applyAlignment="1" applyProtection="1">
      <alignment horizontal="left" vertical="center" wrapText="1"/>
    </xf>
    <xf numFmtId="0" fontId="118" fillId="71" borderId="30" xfId="0" applyFont="1" applyFill="1" applyBorder="1" applyAlignment="1" applyProtection="1">
      <alignment horizontal="left" vertical="center" wrapText="1"/>
    </xf>
    <xf numFmtId="0" fontId="88" fillId="0" borderId="30" xfId="0" applyFont="1" applyBorder="1" applyAlignment="1" applyProtection="1">
      <alignment horizontal="left" vertical="center" wrapText="1"/>
    </xf>
    <xf numFmtId="4" fontId="118" fillId="71" borderId="29" xfId="8" applyNumberFormat="1" applyFont="1" applyFill="1" applyBorder="1" applyAlignment="1" applyProtection="1">
      <alignment horizontal="left" vertical="top" wrapText="1"/>
    </xf>
    <xf numFmtId="4" fontId="102" fillId="71" borderId="47" xfId="8" applyNumberFormat="1" applyFont="1" applyFill="1" applyBorder="1" applyAlignment="1" applyProtection="1">
      <alignment horizontal="left" vertical="top" wrapText="1"/>
    </xf>
    <xf numFmtId="4" fontId="102" fillId="71" borderId="30" xfId="8" applyNumberFormat="1" applyFont="1" applyFill="1" applyBorder="1" applyAlignment="1" applyProtection="1">
      <alignment horizontal="left" vertical="top" wrapText="1"/>
    </xf>
    <xf numFmtId="0" fontId="118" fillId="0" borderId="29" xfId="0" applyFont="1" applyFill="1" applyBorder="1" applyAlignment="1" applyProtection="1">
      <alignment horizontal="left" vertical="center" wrapText="1"/>
    </xf>
    <xf numFmtId="0" fontId="118" fillId="0" borderId="47" xfId="0" applyFont="1" applyFill="1" applyBorder="1" applyAlignment="1" applyProtection="1">
      <alignment horizontal="left" vertical="center" wrapText="1"/>
    </xf>
    <xf numFmtId="0" fontId="86" fillId="71" borderId="29" xfId="0" applyFont="1" applyFill="1" applyBorder="1" applyAlignment="1" applyProtection="1">
      <alignment horizontal="left" vertical="center" wrapText="1"/>
    </xf>
    <xf numFmtId="0" fontId="86" fillId="71" borderId="47" xfId="0" applyFont="1" applyFill="1" applyBorder="1" applyAlignment="1" applyProtection="1">
      <alignment horizontal="left" vertical="center" wrapText="1"/>
    </xf>
    <xf numFmtId="0" fontId="86" fillId="71" borderId="30" xfId="0" applyFont="1" applyFill="1" applyBorder="1" applyAlignment="1" applyProtection="1">
      <alignment horizontal="left" vertical="center" wrapText="1"/>
    </xf>
    <xf numFmtId="0" fontId="93" fillId="0" borderId="29" xfId="0" applyFont="1" applyBorder="1" applyAlignment="1" applyProtection="1">
      <alignment horizontal="left" vertical="center" wrapText="1"/>
    </xf>
    <xf numFmtId="0" fontId="88" fillId="0" borderId="47" xfId="0" applyFont="1" applyBorder="1" applyAlignment="1" applyProtection="1">
      <alignment horizontal="left" vertical="center" wrapText="1"/>
    </xf>
    <xf numFmtId="0" fontId="90" fillId="0" borderId="29" xfId="0" applyFont="1" applyFill="1" applyBorder="1" applyAlignment="1" applyProtection="1">
      <alignment horizontal="left" vertical="center" wrapText="1"/>
    </xf>
    <xf numFmtId="0" fontId="90" fillId="0" borderId="30" xfId="0" applyFont="1" applyFill="1" applyBorder="1" applyAlignment="1" applyProtection="1">
      <alignment horizontal="left" vertical="center" wrapText="1"/>
    </xf>
    <xf numFmtId="0" fontId="88" fillId="0" borderId="29" xfId="0" applyFont="1" applyBorder="1" applyAlignment="1" applyProtection="1">
      <alignment horizontal="left" vertical="center" wrapText="1"/>
    </xf>
    <xf numFmtId="4" fontId="86" fillId="0" borderId="29" xfId="0" applyNumberFormat="1" applyFont="1" applyBorder="1" applyAlignment="1" applyProtection="1">
      <alignment horizontal="left" vertical="center" wrapText="1"/>
    </xf>
    <xf numFmtId="4" fontId="86" fillId="0" borderId="47" xfId="0" applyNumberFormat="1" applyFont="1" applyBorder="1" applyAlignment="1" applyProtection="1">
      <alignment horizontal="left" vertical="center" wrapText="1"/>
    </xf>
    <xf numFmtId="4" fontId="86" fillId="0" borderId="30" xfId="0" applyNumberFormat="1" applyFont="1" applyBorder="1" applyAlignment="1" applyProtection="1">
      <alignment horizontal="left" vertical="center" wrapText="1"/>
    </xf>
    <xf numFmtId="0" fontId="86" fillId="0" borderId="29" xfId="0" applyFont="1" applyBorder="1" applyAlignment="1" applyProtection="1">
      <alignment horizontal="left" vertical="center" wrapText="1"/>
    </xf>
    <xf numFmtId="0" fontId="86" fillId="0" borderId="47" xfId="0" applyFont="1" applyBorder="1" applyAlignment="1" applyProtection="1">
      <alignment horizontal="left" vertical="center" wrapText="1"/>
    </xf>
    <xf numFmtId="0" fontId="86" fillId="0" borderId="30" xfId="0" applyFont="1" applyBorder="1" applyAlignment="1" applyProtection="1">
      <alignment horizontal="left" vertical="center" wrapText="1"/>
    </xf>
    <xf numFmtId="4" fontId="84" fillId="0" borderId="29" xfId="0" applyNumberFormat="1" applyFont="1" applyBorder="1" applyAlignment="1" applyProtection="1">
      <alignment horizontal="left" vertical="center" wrapText="1"/>
    </xf>
    <xf numFmtId="4" fontId="85" fillId="0" borderId="47" xfId="0" applyNumberFormat="1" applyFont="1" applyBorder="1" applyAlignment="1" applyProtection="1">
      <alignment horizontal="left" vertical="center" wrapText="1"/>
    </xf>
    <xf numFmtId="4" fontId="85" fillId="0" borderId="30" xfId="0" applyNumberFormat="1" applyFont="1" applyBorder="1" applyAlignment="1" applyProtection="1">
      <alignment horizontal="left" vertical="center" wrapText="1"/>
    </xf>
    <xf numFmtId="0" fontId="93" fillId="71" borderId="29" xfId="0" quotePrefix="1" applyFont="1" applyFill="1" applyBorder="1" applyAlignment="1" applyProtection="1">
      <alignment horizontal="left" vertical="center" wrapText="1"/>
    </xf>
    <xf numFmtId="0" fontId="88" fillId="71" borderId="47" xfId="0" quotePrefix="1" applyFont="1" applyFill="1" applyBorder="1" applyAlignment="1" applyProtection="1">
      <alignment horizontal="left" vertical="center" wrapText="1"/>
    </xf>
    <xf numFmtId="0" fontId="88" fillId="71" borderId="30" xfId="0" quotePrefix="1" applyFont="1" applyFill="1" applyBorder="1" applyAlignment="1" applyProtection="1">
      <alignment horizontal="left" vertical="center" wrapText="1"/>
    </xf>
    <xf numFmtId="4" fontId="90" fillId="0" borderId="29" xfId="0" applyNumberFormat="1" applyFont="1" applyFill="1" applyBorder="1" applyAlignment="1" applyProtection="1">
      <alignment horizontal="justify" vertical="center" wrapText="1"/>
    </xf>
    <xf numFmtId="4" fontId="90" fillId="0" borderId="47" xfId="0" applyNumberFormat="1" applyFont="1" applyFill="1" applyBorder="1" applyAlignment="1" applyProtection="1">
      <alignment horizontal="justify" vertical="center" wrapText="1"/>
    </xf>
    <xf numFmtId="4" fontId="90" fillId="0" borderId="30" xfId="0" applyNumberFormat="1" applyFont="1" applyFill="1" applyBorder="1" applyAlignment="1" applyProtection="1">
      <alignment horizontal="justify" vertical="center" wrapText="1"/>
    </xf>
    <xf numFmtId="0" fontId="93" fillId="71" borderId="29" xfId="762" applyFont="1" applyFill="1" applyBorder="1" applyAlignment="1" applyProtection="1">
      <alignment horizontal="left" vertical="center" wrapText="1"/>
    </xf>
    <xf numFmtId="0" fontId="93" fillId="71" borderId="30" xfId="762" applyFont="1" applyFill="1" applyBorder="1" applyAlignment="1" applyProtection="1">
      <alignment horizontal="left" vertical="center" wrapText="1"/>
    </xf>
    <xf numFmtId="4" fontId="95" fillId="0" borderId="29" xfId="0" applyNumberFormat="1" applyFont="1" applyBorder="1" applyAlignment="1" applyProtection="1">
      <alignment horizontal="left" vertical="center" wrapText="1"/>
    </xf>
    <xf numFmtId="4" fontId="95" fillId="0" borderId="47" xfId="0" applyNumberFormat="1" applyFont="1" applyBorder="1" applyAlignment="1" applyProtection="1">
      <alignment horizontal="left" vertical="center" wrapText="1"/>
    </xf>
    <xf numFmtId="4" fontId="95" fillId="0" borderId="30" xfId="0" applyNumberFormat="1" applyFont="1" applyBorder="1" applyAlignment="1" applyProtection="1">
      <alignment horizontal="left" vertical="center" wrapText="1"/>
    </xf>
    <xf numFmtId="4" fontId="93" fillId="0" borderId="29" xfId="0" applyNumberFormat="1" applyFont="1" applyBorder="1" applyAlignment="1" applyProtection="1">
      <alignment horizontal="left" vertical="center" wrapText="1"/>
    </xf>
    <xf numFmtId="4" fontId="88" fillId="0" borderId="47" xfId="0" applyNumberFormat="1" applyFont="1" applyBorder="1" applyAlignment="1" applyProtection="1">
      <alignment horizontal="left" vertical="center" wrapText="1"/>
    </xf>
    <xf numFmtId="4" fontId="88" fillId="0" borderId="30" xfId="0" applyNumberFormat="1" applyFont="1" applyBorder="1" applyAlignment="1" applyProtection="1">
      <alignment horizontal="left" vertical="center" wrapText="1"/>
    </xf>
    <xf numFmtId="0" fontId="106" fillId="69" borderId="0" xfId="0" applyFont="1" applyFill="1" applyBorder="1" applyAlignment="1" applyProtection="1">
      <alignment horizontal="center" vertical="center" wrapText="1"/>
    </xf>
    <xf numFmtId="0" fontId="86" fillId="0" borderId="29" xfId="0" applyFont="1" applyFill="1" applyBorder="1" applyAlignment="1" applyProtection="1">
      <alignment horizontal="left" vertical="center" wrapText="1"/>
    </xf>
    <xf numFmtId="0" fontId="86" fillId="0" borderId="30" xfId="0" applyFont="1" applyFill="1" applyBorder="1" applyAlignment="1" applyProtection="1">
      <alignment horizontal="left" vertical="center"/>
    </xf>
    <xf numFmtId="0" fontId="118" fillId="0" borderId="29" xfId="0" applyFont="1" applyFill="1" applyBorder="1" applyAlignment="1" applyProtection="1">
      <alignment horizontal="justify" vertical="center" wrapText="1"/>
    </xf>
    <xf numFmtId="0" fontId="118" fillId="0" borderId="30" xfId="0" applyFont="1" applyFill="1" applyBorder="1" applyAlignment="1" applyProtection="1">
      <alignment horizontal="justify" vertical="center" wrapText="1"/>
    </xf>
    <xf numFmtId="4" fontId="118" fillId="0" borderId="29" xfId="0" applyNumberFormat="1" applyFont="1" applyBorder="1" applyAlignment="1" applyProtection="1">
      <alignment horizontal="left" vertical="center" wrapText="1"/>
    </xf>
    <xf numFmtId="4" fontId="118" fillId="0" borderId="47" xfId="0" applyNumberFormat="1" applyFont="1" applyBorder="1" applyAlignment="1" applyProtection="1">
      <alignment horizontal="left" vertical="center" wrapText="1"/>
    </xf>
    <xf numFmtId="4" fontId="118" fillId="0" borderId="30" xfId="0" applyNumberFormat="1" applyFont="1" applyBorder="1" applyAlignment="1" applyProtection="1">
      <alignment horizontal="left" vertical="center" wrapText="1"/>
    </xf>
    <xf numFmtId="0" fontId="118" fillId="71" borderId="29" xfId="8" applyFont="1" applyFill="1" applyBorder="1" applyAlignment="1" applyProtection="1">
      <alignment horizontal="left" vertical="center" wrapText="1"/>
    </xf>
    <xf numFmtId="0" fontId="88" fillId="71" borderId="47" xfId="8" applyFont="1" applyFill="1" applyBorder="1" applyAlignment="1" applyProtection="1">
      <alignment horizontal="left" vertical="center" wrapText="1"/>
    </xf>
    <xf numFmtId="0" fontId="88" fillId="71" borderId="30" xfId="8" applyFont="1" applyFill="1" applyBorder="1" applyAlignment="1" applyProtection="1">
      <alignment horizontal="left" vertical="center" wrapText="1"/>
    </xf>
    <xf numFmtId="4" fontId="118" fillId="0" borderId="29" xfId="0" applyNumberFormat="1" applyFont="1" applyBorder="1" applyAlignment="1" applyProtection="1">
      <alignment horizontal="justify" vertical="center" wrapText="1"/>
    </xf>
    <xf numFmtId="4" fontId="118" fillId="0" borderId="47" xfId="0" applyNumberFormat="1" applyFont="1" applyBorder="1" applyAlignment="1" applyProtection="1">
      <alignment horizontal="justify" vertical="center" wrapText="1"/>
    </xf>
    <xf numFmtId="4" fontId="118" fillId="0" borderId="30" xfId="0" applyNumberFormat="1" applyFont="1" applyBorder="1" applyAlignment="1" applyProtection="1">
      <alignment horizontal="justify" vertical="center" wrapText="1"/>
    </xf>
    <xf numFmtId="4" fontId="84" fillId="0" borderId="29" xfId="0" applyNumberFormat="1" applyFont="1" applyFill="1" applyBorder="1" applyAlignment="1" applyProtection="1">
      <alignment horizontal="justify" vertical="center" wrapText="1"/>
    </xf>
    <xf numFmtId="4" fontId="84" fillId="0" borderId="30" xfId="0" applyNumberFormat="1" applyFont="1" applyFill="1" applyBorder="1" applyAlignment="1" applyProtection="1">
      <alignment horizontal="justify" vertical="center" wrapText="1"/>
    </xf>
    <xf numFmtId="4" fontId="84" fillId="0" borderId="29" xfId="0" applyNumberFormat="1" applyFont="1" applyFill="1" applyBorder="1" applyAlignment="1" applyProtection="1">
      <alignment horizontal="left" vertical="center" wrapText="1"/>
    </xf>
    <xf numFmtId="4" fontId="84" fillId="0" borderId="30" xfId="0" applyNumberFormat="1" applyFont="1" applyFill="1" applyBorder="1" applyAlignment="1" applyProtection="1">
      <alignment horizontal="left" vertical="center" wrapText="1"/>
    </xf>
    <xf numFmtId="0" fontId="118" fillId="0" borderId="30" xfId="0" applyFont="1" applyFill="1" applyBorder="1" applyAlignment="1" applyProtection="1">
      <alignment horizontal="left" vertical="center" wrapText="1"/>
    </xf>
    <xf numFmtId="0" fontId="86" fillId="0" borderId="30" xfId="0" applyFont="1" applyFill="1" applyBorder="1" applyAlignment="1" applyProtection="1">
      <alignment horizontal="left" vertical="center" wrapText="1"/>
    </xf>
    <xf numFmtId="4" fontId="84" fillId="0" borderId="30" xfId="0" applyNumberFormat="1" applyFont="1" applyBorder="1" applyAlignment="1" applyProtection="1">
      <alignment horizontal="left" vertical="center" wrapText="1"/>
    </xf>
    <xf numFmtId="0" fontId="86" fillId="71" borderId="29" xfId="0" applyFont="1" applyFill="1" applyBorder="1" applyAlignment="1" applyProtection="1">
      <alignment horizontal="justify" vertical="center" wrapText="1"/>
    </xf>
    <xf numFmtId="0" fontId="86" fillId="71" borderId="47" xfId="0" applyFont="1" applyFill="1" applyBorder="1" applyAlignment="1" applyProtection="1">
      <alignment horizontal="justify" vertical="center" wrapText="1"/>
    </xf>
    <xf numFmtId="0" fontId="86" fillId="71" borderId="30" xfId="0" applyFont="1" applyFill="1" applyBorder="1" applyAlignment="1" applyProtection="1">
      <alignment horizontal="justify" vertical="center" wrapText="1"/>
    </xf>
    <xf numFmtId="0" fontId="118" fillId="0" borderId="29" xfId="0" applyFont="1" applyBorder="1" applyAlignment="1" applyProtection="1">
      <alignment horizontal="justify" vertical="center" wrapText="1"/>
    </xf>
    <xf numFmtId="0" fontId="118" fillId="0" borderId="30" xfId="0" applyFont="1" applyBorder="1" applyAlignment="1" applyProtection="1">
      <alignment horizontal="justify" vertical="center" wrapText="1"/>
    </xf>
    <xf numFmtId="4" fontId="84" fillId="0" borderId="47" xfId="0" applyNumberFormat="1" applyFont="1" applyFill="1" applyBorder="1" applyAlignment="1" applyProtection="1">
      <alignment horizontal="justify" vertical="center" wrapText="1"/>
    </xf>
    <xf numFmtId="0" fontId="118" fillId="0" borderId="47" xfId="0" applyFont="1" applyFill="1" applyBorder="1" applyAlignment="1" applyProtection="1">
      <alignment horizontal="justify" vertical="center" wrapText="1"/>
    </xf>
    <xf numFmtId="0" fontId="118" fillId="0" borderId="47" xfId="0" applyFont="1" applyBorder="1" applyAlignment="1" applyProtection="1">
      <alignment horizontal="justify" vertical="center" wrapText="1"/>
    </xf>
    <xf numFmtId="0" fontId="86" fillId="0" borderId="29" xfId="0" applyFont="1" applyBorder="1" applyAlignment="1" applyProtection="1">
      <alignment horizontal="justify" vertical="center" wrapText="1"/>
    </xf>
    <xf numFmtId="0" fontId="86" fillId="0" borderId="47" xfId="0" applyFont="1" applyBorder="1" applyAlignment="1" applyProtection="1">
      <alignment horizontal="justify" vertical="center" wrapText="1"/>
    </xf>
    <xf numFmtId="0" fontId="86" fillId="0" borderId="30" xfId="0" applyFont="1" applyBorder="1" applyAlignment="1" applyProtection="1">
      <alignment horizontal="justify" vertical="center" wrapText="1"/>
    </xf>
    <xf numFmtId="0" fontId="84" fillId="71" borderId="29" xfId="0" applyFont="1" applyFill="1" applyBorder="1" applyAlignment="1" applyProtection="1">
      <alignment horizontal="justify" vertical="center" wrapText="1"/>
    </xf>
    <xf numFmtId="0" fontId="84" fillId="71" borderId="47" xfId="0" applyFont="1" applyFill="1" applyBorder="1" applyAlignment="1" applyProtection="1">
      <alignment horizontal="justify" vertical="center" wrapText="1"/>
    </xf>
    <xf numFmtId="0" fontId="84" fillId="71" borderId="30" xfId="0" applyFont="1" applyFill="1" applyBorder="1" applyAlignment="1" applyProtection="1">
      <alignment horizontal="justify" vertical="center" wrapText="1"/>
    </xf>
    <xf numFmtId="0" fontId="84" fillId="71" borderId="29" xfId="3225" applyNumberFormat="1" applyFont="1" applyFill="1" applyBorder="1" applyAlignment="1" applyProtection="1">
      <alignment horizontal="left" vertical="center" wrapText="1"/>
    </xf>
    <xf numFmtId="0" fontId="84" fillId="71" borderId="47" xfId="3225" applyNumberFormat="1" applyFont="1" applyFill="1" applyBorder="1" applyAlignment="1" applyProtection="1">
      <alignment horizontal="left" vertical="center"/>
    </xf>
    <xf numFmtId="0" fontId="84" fillId="71" borderId="30" xfId="3225" applyNumberFormat="1" applyFont="1" applyFill="1" applyBorder="1" applyAlignment="1" applyProtection="1">
      <alignment horizontal="left" vertical="center"/>
    </xf>
    <xf numFmtId="0" fontId="88" fillId="0" borderId="47" xfId="0" applyFont="1" applyBorder="1" applyAlignment="1" applyProtection="1">
      <alignment horizontal="justify" vertical="center" wrapText="1"/>
    </xf>
    <xf numFmtId="0" fontId="88" fillId="0" borderId="30" xfId="0" applyFont="1" applyBorder="1" applyAlignment="1" applyProtection="1">
      <alignment horizontal="justify" vertical="center" wrapText="1"/>
    </xf>
  </cellXfs>
  <cellStyles count="3241">
    <cellStyle name="'" xfId="11" xr:uid="{00000000-0005-0000-0000-000000000000}"/>
    <cellStyle name="%" xfId="12" xr:uid="{00000000-0005-0000-0000-000001000000}"/>
    <cellStyle name="% 2" xfId="13" xr:uid="{00000000-0005-0000-0000-000002000000}"/>
    <cellStyle name="% 3" xfId="14" xr:uid="{00000000-0005-0000-0000-000003000000}"/>
    <cellStyle name="% 4" xfId="3221" xr:uid="{00000000-0005-0000-0000-000004000000}"/>
    <cellStyle name="%_2_инсталляция 4кв " xfId="15" xr:uid="{00000000-0005-0000-0000-000005000000}"/>
    <cellStyle name="%_База" xfId="16" xr:uid="{00000000-0005-0000-0000-000006000000}"/>
    <cellStyle name="%_База_1" xfId="17" xr:uid="{00000000-0005-0000-0000-000007000000}"/>
    <cellStyle name="%_База_1_Свод" xfId="18" xr:uid="{00000000-0005-0000-0000-000008000000}"/>
    <cellStyle name="%_База_2" xfId="19" xr:uid="{00000000-0005-0000-0000-000009000000}"/>
    <cellStyle name="%_База_База" xfId="20" xr:uid="{00000000-0005-0000-0000-00000A000000}"/>
    <cellStyle name="__ДДС_П2 СЗТ08" xfId="21" xr:uid="{00000000-0005-0000-0000-00000B000000}"/>
    <cellStyle name="__ДДС_П4 СЗТ09" xfId="22" xr:uid="{00000000-0005-0000-0000-00000C000000}"/>
    <cellStyle name="__ОборотКЗП2 для БО" xfId="23" xr:uid="{00000000-0005-0000-0000-00000D000000}"/>
    <cellStyle name="_01" xfId="24" xr:uid="{00000000-0005-0000-0000-00000E000000}"/>
    <cellStyle name="_05_База_за_3 квартал" xfId="25" xr:uid="{00000000-0005-0000-0000-00000F000000}"/>
    <cellStyle name="_05_База_за_декабрь уточн" xfId="26" xr:uid="{00000000-0005-0000-0000-000010000000}"/>
    <cellStyle name="_07" xfId="27" xr:uid="{00000000-0005-0000-0000-000011000000}"/>
    <cellStyle name="_2_инсталляция 4кв " xfId="28" xr:uid="{00000000-0005-0000-0000-000012000000}"/>
    <cellStyle name="_2010_II_F0145" xfId="29" xr:uid="{00000000-0005-0000-0000-000013000000}"/>
    <cellStyle name="_333" xfId="30" xr:uid="{00000000-0005-0000-0000-000014000000}"/>
    <cellStyle name="_50-Инвестиц_05_август" xfId="31" xr:uid="{00000000-0005-0000-0000-000015000000}"/>
    <cellStyle name="_Cost" xfId="32" xr:uid="{00000000-0005-0000-0000-000016000000}"/>
    <cellStyle name="_header_grey" xfId="33" xr:uid="{00000000-0005-0000-0000-000017000000}"/>
    <cellStyle name="_header_italic" xfId="34" xr:uid="{00000000-0005-0000-0000-000018000000}"/>
    <cellStyle name="_header_vertical" xfId="35" xr:uid="{00000000-0005-0000-0000-000019000000}"/>
    <cellStyle name="_Inv" xfId="36" xr:uid="{00000000-0005-0000-0000-00001A000000}"/>
    <cellStyle name="_Invest _052" xfId="37" xr:uid="{00000000-0005-0000-0000-00001B000000}"/>
    <cellStyle name="_Invest_04_факт_декабрь_проверка_КЗ" xfId="38" xr:uid="{00000000-0005-0000-0000-00001C000000}"/>
    <cellStyle name="_Invest_05_факт_июнь" xfId="39" xr:uid="{00000000-0005-0000-0000-00001D000000}"/>
    <cellStyle name="_Invest_06_v11" xfId="40" xr:uid="{00000000-0005-0000-0000-00001E000000}"/>
    <cellStyle name="_PL_СЗТ_2007_08.11.06" xfId="41" xr:uid="{00000000-0005-0000-0000-00001F000000}"/>
    <cellStyle name="_PL_СЗТ_4 кв 2006" xfId="42" xr:uid="{00000000-0005-0000-0000-000020000000}"/>
    <cellStyle name="_PL_СЗТ_4 кв 2007-ПланIV" xfId="43" xr:uid="{00000000-0005-0000-0000-000021000000}"/>
    <cellStyle name="_PL2008свод" xfId="44" xr:uid="{00000000-0005-0000-0000-000022000000}"/>
    <cellStyle name="_PON_модель_150709_на основе 060709_упущенная выгода отдельно" xfId="45" xr:uid="{00000000-0005-0000-0000-000023000000}"/>
    <cellStyle name="_Rate_account_v2_1_st_stage (4)" xfId="46" xr:uid="{00000000-0005-0000-0000-000024000000}"/>
    <cellStyle name="_Zayavka.xls Диагр. 100" xfId="47" xr:uid="{00000000-0005-0000-0000-000025000000}"/>
    <cellStyle name="_Zayavka.xls Диагр. 101" xfId="48" xr:uid="{00000000-0005-0000-0000-000026000000}"/>
    <cellStyle name="_Zayavka.xls Диагр. 102" xfId="49" xr:uid="{00000000-0005-0000-0000-000027000000}"/>
    <cellStyle name="_Zayavka.xls Диагр. 103" xfId="50" xr:uid="{00000000-0005-0000-0000-000028000000}"/>
    <cellStyle name="_Zayavka.xls Диагр. 104" xfId="51" xr:uid="{00000000-0005-0000-0000-000029000000}"/>
    <cellStyle name="_Zayavka.xls Диагр. 105" xfId="52" xr:uid="{00000000-0005-0000-0000-00002A000000}"/>
    <cellStyle name="_Zayavka.xls Диагр. 106" xfId="53" xr:uid="{00000000-0005-0000-0000-00002B000000}"/>
    <cellStyle name="_Zayavka.xls Диагр. 107" xfId="54" xr:uid="{00000000-0005-0000-0000-00002C000000}"/>
    <cellStyle name="_Zayavka.xls Диагр. 108" xfId="55" xr:uid="{00000000-0005-0000-0000-00002D000000}"/>
    <cellStyle name="_Zayavka.xls Диагр. 109" xfId="56" xr:uid="{00000000-0005-0000-0000-00002E000000}"/>
    <cellStyle name="_Zayavka.xls Диагр. 110" xfId="57" xr:uid="{00000000-0005-0000-0000-00002F000000}"/>
    <cellStyle name="_Zayavka.xls Диагр. 111" xfId="58" xr:uid="{00000000-0005-0000-0000-000030000000}"/>
    <cellStyle name="_Zayavka.xls Диагр. 112" xfId="59" xr:uid="{00000000-0005-0000-0000-000031000000}"/>
    <cellStyle name="_Zayavka.xls Диагр. 113" xfId="60" xr:uid="{00000000-0005-0000-0000-000032000000}"/>
    <cellStyle name="_Zayavka.xls Диагр. 114" xfId="61" xr:uid="{00000000-0005-0000-0000-000033000000}"/>
    <cellStyle name="_Zayavka.xls Диагр. 115" xfId="62" xr:uid="{00000000-0005-0000-0000-000034000000}"/>
    <cellStyle name="_Zayavka.xls Диагр. 116" xfId="63" xr:uid="{00000000-0005-0000-0000-000035000000}"/>
    <cellStyle name="_Zayavka.xls Диагр. 117" xfId="64" xr:uid="{00000000-0005-0000-0000-000036000000}"/>
    <cellStyle name="_Zayavka.xls Диагр. 118" xfId="65" xr:uid="{00000000-0005-0000-0000-000037000000}"/>
    <cellStyle name="_Zayavka.xls Диагр. 119" xfId="66" xr:uid="{00000000-0005-0000-0000-000038000000}"/>
    <cellStyle name="_Zayavka.xls Диагр. 120" xfId="67" xr:uid="{00000000-0005-0000-0000-000039000000}"/>
    <cellStyle name="_Zayavka.xls Диагр. 121" xfId="68" xr:uid="{00000000-0005-0000-0000-00003A000000}"/>
    <cellStyle name="_Zayavka.xls Диагр. 122" xfId="69" xr:uid="{00000000-0005-0000-0000-00003B000000}"/>
    <cellStyle name="_Zayavka.xls Диагр. 123" xfId="70" xr:uid="{00000000-0005-0000-0000-00003C000000}"/>
    <cellStyle name="_Zayavka.xls Диагр. 124" xfId="71" xr:uid="{00000000-0005-0000-0000-00003D000000}"/>
    <cellStyle name="_Zayavka.xls Диагр. 125" xfId="72" xr:uid="{00000000-0005-0000-0000-00003E000000}"/>
    <cellStyle name="_Zayavka.xls Диагр. 126" xfId="73" xr:uid="{00000000-0005-0000-0000-00003F000000}"/>
    <cellStyle name="_Zayavka.xls Диагр. 127" xfId="74" xr:uid="{00000000-0005-0000-0000-000040000000}"/>
    <cellStyle name="_Zayavka.xls Диагр. 128" xfId="75" xr:uid="{00000000-0005-0000-0000-000041000000}"/>
    <cellStyle name="_Zayavka.xls Диагр. 129" xfId="76" xr:uid="{00000000-0005-0000-0000-000042000000}"/>
    <cellStyle name="_Zayavka.xls Диагр. 130" xfId="77" xr:uid="{00000000-0005-0000-0000-000043000000}"/>
    <cellStyle name="_Zayavka.xls Диагр. 131" xfId="78" xr:uid="{00000000-0005-0000-0000-000044000000}"/>
    <cellStyle name="_Zayavka.xls Диагр. 132" xfId="79" xr:uid="{00000000-0005-0000-0000-000045000000}"/>
    <cellStyle name="_Zayavka.xls Диагр. 133" xfId="80" xr:uid="{00000000-0005-0000-0000-000046000000}"/>
    <cellStyle name="_Zayavka.xls Диагр. 134" xfId="81" xr:uid="{00000000-0005-0000-0000-000047000000}"/>
    <cellStyle name="_Zayavka.xls Диагр. 135" xfId="82" xr:uid="{00000000-0005-0000-0000-000048000000}"/>
    <cellStyle name="_Zayavka.xls Диагр. 136" xfId="83" xr:uid="{00000000-0005-0000-0000-000049000000}"/>
    <cellStyle name="_Zayavka.xls Диагр. 137" xfId="84" xr:uid="{00000000-0005-0000-0000-00004A000000}"/>
    <cellStyle name="_Zayavka.xls Диагр. 138" xfId="85" xr:uid="{00000000-0005-0000-0000-00004B000000}"/>
    <cellStyle name="_Zayavka.xls Диагр. 139" xfId="86" xr:uid="{00000000-0005-0000-0000-00004C000000}"/>
    <cellStyle name="_Zayavka.xls Диагр. 140" xfId="87" xr:uid="{00000000-0005-0000-0000-00004D000000}"/>
    <cellStyle name="_Zayavka.xls Диагр. 141" xfId="88" xr:uid="{00000000-0005-0000-0000-00004E000000}"/>
    <cellStyle name="_Zayavka.xls Диагр. 142" xfId="89" xr:uid="{00000000-0005-0000-0000-00004F000000}"/>
    <cellStyle name="_Zayavka.xls Диагр. 144" xfId="90" xr:uid="{00000000-0005-0000-0000-000050000000}"/>
    <cellStyle name="_Zayavka.xls Диагр. 145" xfId="91" xr:uid="{00000000-0005-0000-0000-000051000000}"/>
    <cellStyle name="_Zayavka.xls Диагр. 146" xfId="92" xr:uid="{00000000-0005-0000-0000-000052000000}"/>
    <cellStyle name="_Zayavka.xls Диагр. 147" xfId="93" xr:uid="{00000000-0005-0000-0000-000053000000}"/>
    <cellStyle name="_Zayavka.xls Диагр. 89" xfId="94" xr:uid="{00000000-0005-0000-0000-000054000000}"/>
    <cellStyle name="_Zayavka.xls Диагр. 90" xfId="95" xr:uid="{00000000-0005-0000-0000-000055000000}"/>
    <cellStyle name="_Zayavka.xls Диагр. 91" xfId="96" xr:uid="{00000000-0005-0000-0000-000056000000}"/>
    <cellStyle name="_Zayavka.xls Диагр. 92" xfId="97" xr:uid="{00000000-0005-0000-0000-000057000000}"/>
    <cellStyle name="_Zayavka.xls Диагр. 93" xfId="98" xr:uid="{00000000-0005-0000-0000-000058000000}"/>
    <cellStyle name="_Zayavka.xls Диагр. 94" xfId="99" xr:uid="{00000000-0005-0000-0000-000059000000}"/>
    <cellStyle name="_Zayavka.xls Диагр. 95" xfId="100" xr:uid="{00000000-0005-0000-0000-00005A000000}"/>
    <cellStyle name="_Zayavka.xls Диагр. 96" xfId="101" xr:uid="{00000000-0005-0000-0000-00005B000000}"/>
    <cellStyle name="_Zayavka.xls Диагр. 97" xfId="102" xr:uid="{00000000-0005-0000-0000-00005C000000}"/>
    <cellStyle name="_Zayavka.xls Диагр. 98" xfId="103" xr:uid="{00000000-0005-0000-0000-00005D000000}"/>
    <cellStyle name="_Zayavka.xls Диагр. 99" xfId="104" xr:uid="{00000000-0005-0000-0000-00005E000000}"/>
    <cellStyle name="_Анализ" xfId="105" xr:uid="{00000000-0005-0000-0000-00005F000000}"/>
    <cellStyle name="_Анализ_апрель" xfId="106" xr:uid="{00000000-0005-0000-0000-000060000000}"/>
    <cellStyle name="_Анализ_май" xfId="107" xr:uid="{00000000-0005-0000-0000-000061000000}"/>
    <cellStyle name="_Бюджет_2007" xfId="108" xr:uid="{00000000-0005-0000-0000-000062000000}"/>
    <cellStyle name="_БюджетPLДДС2009_V94форма" xfId="109" xr:uid="{00000000-0005-0000-0000-000063000000}"/>
    <cellStyle name="_ГД" xfId="110" xr:uid="{00000000-0005-0000-0000-000064000000}"/>
    <cellStyle name="_Данные о состоянии дебиторской задолженности_СЗТ 2007.03" xfId="111" xr:uid="{00000000-0005-0000-0000-000065000000}"/>
    <cellStyle name="_Данные о состоянии дебиторской задолженности_СЗТ 2007.03 (вар 2)" xfId="112" xr:uid="{00000000-0005-0000-0000-000066000000}"/>
    <cellStyle name="_ДДС" xfId="113" xr:uid="{00000000-0005-0000-0000-000067000000}"/>
    <cellStyle name="_Для Опер  отчет_СЗТ 2007 01-03(ДДС)" xfId="114" xr:uid="{00000000-0005-0000-0000-000068000000}"/>
    <cellStyle name="_для принципов 2008 к БИК 96 140807" xfId="115" xr:uid="{00000000-0005-0000-0000-000069000000}"/>
    <cellStyle name="_Июль-сент_ОИ" xfId="116" xr:uid="{00000000-0005-0000-0000-00006A000000}"/>
    <cellStyle name="_ИюньОИ" xfId="117" xr:uid="{00000000-0005-0000-0000-00006B000000}"/>
    <cellStyle name="_Книга1" xfId="118" xr:uid="{00000000-0005-0000-0000-00006C000000}"/>
    <cellStyle name="_Книга2" xfId="119" xr:uid="{00000000-0005-0000-0000-00006D000000}"/>
    <cellStyle name="_Кор-ки" xfId="120" xr:uid="{00000000-0005-0000-0000-00006E000000}"/>
    <cellStyle name="_Кор-ки инв" xfId="121" xr:uid="{00000000-0005-0000-0000-00006F000000}"/>
    <cellStyle name="_Кредиты 2006" xfId="122" xr:uid="{00000000-0005-0000-0000-000070000000}"/>
    <cellStyle name="_КС_ЮЛ_3 кв._09_КК" xfId="123" xr:uid="{00000000-0005-0000-0000-000071000000}"/>
    <cellStyle name="_Лист в C: Documents and Settings SmorchkovMN Local Settings Temporary Internet Files OLK10 Итоги выполнения показателей бюджета на 10.06" xfId="124" xr:uid="{00000000-0005-0000-0000-000072000000}"/>
    <cellStyle name="_Лист1" xfId="125" xr:uid="{00000000-0005-0000-0000-000073000000}"/>
    <cellStyle name="_Лист1_DDS_Inv_2011" xfId="126" xr:uid="{00000000-0005-0000-0000-000074000000}"/>
    <cellStyle name="_Лист1_ДДС" xfId="127" xr:uid="{00000000-0005-0000-0000-000075000000}"/>
    <cellStyle name="_Лист2" xfId="128" xr:uid="{00000000-0005-0000-0000-000076000000}"/>
    <cellStyle name="_Модель прогноза_Сибирьтелеком" xfId="129" xr:uid="{00000000-0005-0000-0000-000077000000}"/>
    <cellStyle name="_НП_21октября (Карпов)" xfId="130" xr:uid="{00000000-0005-0000-0000-000078000000}"/>
    <cellStyle name="_НП_апрель" xfId="131" xr:uid="{00000000-0005-0000-0000-000079000000}"/>
    <cellStyle name="_НП_апрель1" xfId="132" xr:uid="{00000000-0005-0000-0000-00007A000000}"/>
    <cellStyle name="_Общий_файл_для_отметок" xfId="133" xr:uid="{00000000-0005-0000-0000-00007B000000}"/>
    <cellStyle name="_Опер. отчет_СЗТ 2006.04-06 ч. 2)" xfId="134" xr:uid="{00000000-0005-0000-0000-00007C000000}"/>
    <cellStyle name="_Опер. отчет_СЗТ 2006.10-12(ч.2)" xfId="135" xr:uid="{00000000-0005-0000-0000-00007D000000}"/>
    <cellStyle name="_ОРДЗ" xfId="136" xr:uid="{00000000-0005-0000-0000-00007E000000}"/>
    <cellStyle name="_ОРДЗ на 01.01.07" xfId="137" xr:uid="{00000000-0005-0000-0000-00007F000000}"/>
    <cellStyle name="_ОРДЗ на 01.02.07  Таблицы" xfId="138" xr:uid="{00000000-0005-0000-0000-000080000000}"/>
    <cellStyle name="_ОРДЗ на 01.02.07  Таблицы уточненн вар" xfId="139" xr:uid="{00000000-0005-0000-0000-000081000000}"/>
    <cellStyle name="_ОРДЗ на 01.03.07  Таблицы" xfId="140" xr:uid="{00000000-0005-0000-0000-000082000000}"/>
    <cellStyle name="_ОРДЗ на 01.04.06" xfId="141" xr:uid="{00000000-0005-0000-0000-000083000000}"/>
    <cellStyle name="_ОРДЗ на 01.05.06" xfId="142" xr:uid="{00000000-0005-0000-0000-000084000000}"/>
    <cellStyle name="_ОРДЗ на 01.06.06 для отправки" xfId="143" xr:uid="{00000000-0005-0000-0000-000085000000}"/>
    <cellStyle name="_ОРДЗ на 01.07.06 для отправки" xfId="144" xr:uid="{00000000-0005-0000-0000-000086000000}"/>
    <cellStyle name="_ОРДЗ на 01.07.06 для отправки уточненный" xfId="145" xr:uid="{00000000-0005-0000-0000-000087000000}"/>
    <cellStyle name="_ОРДЗ на 01.08.06 для отправки" xfId="146" xr:uid="{00000000-0005-0000-0000-000088000000}"/>
    <cellStyle name="_ОРДЗ на 01.09.06 для отправки" xfId="147" xr:uid="{00000000-0005-0000-0000-000089000000}"/>
    <cellStyle name="_ОРДЗ на 01.10.06" xfId="148" xr:uid="{00000000-0005-0000-0000-00008A000000}"/>
    <cellStyle name="_ОРДЗ на 01.11.06" xfId="149" xr:uid="{00000000-0005-0000-0000-00008B000000}"/>
    <cellStyle name="_Основные_аппараты_2005" xfId="150" xr:uid="{00000000-0005-0000-0000-00008C000000}"/>
    <cellStyle name="_Отчет за 1 квартал 2004 года" xfId="151" xr:uid="{00000000-0005-0000-0000-00008D000000}"/>
    <cellStyle name="_Отчет из SUN 2007 апрель 1105_вар_2" xfId="152" xr:uid="{00000000-0005-0000-0000-00008E000000}"/>
    <cellStyle name="_Отчет_05_апрель" xfId="153" xr:uid="{00000000-0005-0000-0000-00008F000000}"/>
    <cellStyle name="_Отчет_05_декабрь" xfId="154" xr:uid="{00000000-0005-0000-0000-000090000000}"/>
    <cellStyle name="_Отчет_05_июль" xfId="155" xr:uid="{00000000-0005-0000-0000-000091000000}"/>
    <cellStyle name="_Отчет_05_июнь" xfId="156" xr:uid="{00000000-0005-0000-0000-000092000000}"/>
    <cellStyle name="_Отчет_05_май" xfId="157" xr:uid="{00000000-0005-0000-0000-000093000000}"/>
    <cellStyle name="_Отчет_05_май1" xfId="158" xr:uid="{00000000-0005-0000-0000-000094000000}"/>
    <cellStyle name="_Отчет_05_март1" xfId="159" xr:uid="{00000000-0005-0000-0000-000095000000}"/>
    <cellStyle name="_Отчет_05_ноябрь" xfId="160" xr:uid="{00000000-0005-0000-0000-000096000000}"/>
    <cellStyle name="_Отчет_05_октябрь" xfId="161" xr:uid="{00000000-0005-0000-0000-000097000000}"/>
    <cellStyle name="_Отчет_05_октябрь_1811" xfId="162" xr:uid="{00000000-0005-0000-0000-000098000000}"/>
    <cellStyle name="_Отчет_05_сентябрь_нов" xfId="163" xr:uid="{00000000-0005-0000-0000-000099000000}"/>
    <cellStyle name="_Отчет_05_февраль" xfId="164" xr:uid="{00000000-0005-0000-0000-00009A000000}"/>
    <cellStyle name="_Отчет_05_январь" xfId="165" xr:uid="{00000000-0005-0000-0000-00009B000000}"/>
    <cellStyle name="_Отчет_06_март" xfId="166" xr:uid="{00000000-0005-0000-0000-00009C000000}"/>
    <cellStyle name="_Отчет_06_февраль" xfId="167" xr:uid="{00000000-0005-0000-0000-00009D000000}"/>
    <cellStyle name="_Отчет_06_январь" xfId="168" xr:uid="{00000000-0005-0000-0000-00009E000000}"/>
    <cellStyle name="_Отчет_07_март" xfId="169" xr:uid="{00000000-0005-0000-0000-00009F000000}"/>
    <cellStyle name="_Отчет_07_февраль" xfId="170" xr:uid="{00000000-0005-0000-0000-0000A0000000}"/>
    <cellStyle name="_Отчет_07_январь" xfId="171" xr:uid="{00000000-0005-0000-0000-0000A1000000}"/>
    <cellStyle name="_Отчет_август" xfId="172" xr:uid="{00000000-0005-0000-0000-0000A2000000}"/>
    <cellStyle name="_Отчет_декабрь" xfId="173" xr:uid="{00000000-0005-0000-0000-0000A3000000}"/>
    <cellStyle name="_Отчет_июль" xfId="174" xr:uid="{00000000-0005-0000-0000-0000A4000000}"/>
    <cellStyle name="_Отчет_июнь1" xfId="175" xr:uid="{00000000-0005-0000-0000-0000A5000000}"/>
    <cellStyle name="_Отчет_ноябрь" xfId="176" xr:uid="{00000000-0005-0000-0000-0000A6000000}"/>
    <cellStyle name="_Отчет_октябрь" xfId="177" xr:uid="{00000000-0005-0000-0000-0000A7000000}"/>
    <cellStyle name="_Отчет_сентябрь" xfId="178" xr:uid="{00000000-0005-0000-0000-0000A8000000}"/>
    <cellStyle name="_план" xfId="179" xr:uid="{00000000-0005-0000-0000-0000A9000000}"/>
    <cellStyle name="_План развития ШПД_инфо_08 07 2008_" xfId="180" xr:uid="{00000000-0005-0000-0000-0000AA000000}"/>
    <cellStyle name="_Приложения" xfId="181" xr:uid="{00000000-0005-0000-0000-0000AB000000}"/>
    <cellStyle name="_ПРИОРИТЕТЫ_пофилиально_после_БИК_значения_310306" xfId="182" xr:uid="{00000000-0005-0000-0000-0000AC000000}"/>
    <cellStyle name="_Прогноз_2009-2013" xfId="183" xr:uid="{00000000-0005-0000-0000-0000AD000000}"/>
    <cellStyle name="_Прогноз_5Y_2008-2012-СЗТ" xfId="184" xr:uid="{00000000-0005-0000-0000-0000AE000000}"/>
    <cellStyle name="_Расчет ОКВ_ЮРЛ_1" xfId="185" xr:uid="{00000000-0005-0000-0000-0000AF000000}"/>
    <cellStyle name="_расширение_2007_МСС_СЗТ_таблица-16_08 (new1)" xfId="186" xr:uid="{00000000-0005-0000-0000-0000B0000000}"/>
    <cellStyle name="_Расшифр_01_05" xfId="187" xr:uid="{00000000-0005-0000-0000-0000B1000000}"/>
    <cellStyle name="_СЗТ" xfId="188" xr:uid="{00000000-0005-0000-0000-0000B2000000}"/>
    <cellStyle name="_СЗТ_Прогноз_2007-2011 для Стратегии" xfId="189" xr:uid="{00000000-0005-0000-0000-0000B3000000}"/>
    <cellStyle name="_Спека и Расчет окупаемости_УСИ_Cisco" xfId="190" xr:uid="{00000000-0005-0000-0000-0000B4000000}"/>
    <cellStyle name="_Статус" xfId="191" xr:uid="{00000000-0005-0000-0000-0000B5000000}"/>
    <cellStyle name="_Сценарий АнтиПОН_v1_010210" xfId="192" xr:uid="{00000000-0005-0000-0000-0000B6000000}"/>
    <cellStyle name="_Таблица 1.1 Основные экономические показатели" xfId="193" xr:uid="{00000000-0005-0000-0000-0000B7000000}"/>
    <cellStyle name="_Таблица 1.1. Осн эконом показатели" xfId="194" xr:uid="{00000000-0005-0000-0000-0000B8000000}"/>
    <cellStyle name="_Таблица 1.3 ПиУ" xfId="195" xr:uid="{00000000-0005-0000-0000-0000B9000000}"/>
    <cellStyle name="_Таблица 1.3 ПиУ (с корректировками на 18.10.06)" xfId="196" xr:uid="{00000000-0005-0000-0000-0000BA000000}"/>
    <cellStyle name="_Таблицы для ПЗ селектор за октябрь 06" xfId="197" xr:uid="{00000000-0005-0000-0000-0000BB000000}"/>
    <cellStyle name="_ТЭО проекта 75% PON в СПб_v7_300610_принят за базу (75%)" xfId="198" xr:uid="{00000000-0005-0000-0000-0000BC000000}"/>
    <cellStyle name="_ФИН_ЗАДОЛЖЕННОСТЬ" xfId="199" xr:uid="{00000000-0005-0000-0000-0000BD000000}"/>
    <cellStyle name="_ФИНЗАД_01" xfId="200" xr:uid="{00000000-0005-0000-0000-0000BE000000}"/>
    <cellStyle name="_ФОРМА КД2008" xfId="201" xr:uid="{00000000-0005-0000-0000-0000BF000000}"/>
    <cellStyle name="_Форма_БюджетPLДДС2008" xfId="202" xr:uid="{00000000-0005-0000-0000-0000C0000000}"/>
    <cellStyle name="_Формат отчета PL" xfId="203" xr:uid="{00000000-0005-0000-0000-0000C1000000}"/>
    <cellStyle name="_Формы отчетов для СВОС РФ (2)" xfId="204" xr:uid="{00000000-0005-0000-0000-0000C2000000}"/>
    <cellStyle name="_ЦРФ" xfId="205" xr:uid="{00000000-0005-0000-0000-0000C3000000}"/>
    <cellStyle name="_шаблон ПиУ ДДС ДЗ 2009" xfId="206" xr:uid="{00000000-0005-0000-0000-0000C4000000}"/>
    <cellStyle name="0,0_x000d__x000a_NA_x000d__x000a_" xfId="207" xr:uid="{00000000-0005-0000-0000-0000C5000000}"/>
    <cellStyle name="0,0_x000d__x000a_NA_x000d__x000a_ 2" xfId="208" xr:uid="{00000000-0005-0000-0000-0000C6000000}"/>
    <cellStyle name="0,0_x000d__x000a_NA_x000d__x000a_ 3" xfId="209" xr:uid="{00000000-0005-0000-0000-0000C7000000}"/>
    <cellStyle name="0. Заголовок раздела" xfId="210" xr:uid="{00000000-0005-0000-0000-0000C8000000}"/>
    <cellStyle name="01_Validation" xfId="211" xr:uid="{00000000-0005-0000-0000-0000C9000000}"/>
    <cellStyle name="02_Amount_from_OSV" xfId="212" xr:uid="{00000000-0005-0000-0000-0000CA000000}"/>
    <cellStyle name="1,2. Статья или позиция" xfId="213" xr:uid="{00000000-0005-0000-0000-0000CB000000}"/>
    <cellStyle name="20% - Акцент1 2" xfId="214" xr:uid="{00000000-0005-0000-0000-0000CC000000}"/>
    <cellStyle name="20% - Акцент1 2 2" xfId="215" xr:uid="{00000000-0005-0000-0000-0000CD000000}"/>
    <cellStyle name="20% - Акцент1 2 3" xfId="216" xr:uid="{00000000-0005-0000-0000-0000CE000000}"/>
    <cellStyle name="20% - Акцент1 2 4" xfId="217" xr:uid="{00000000-0005-0000-0000-0000CF000000}"/>
    <cellStyle name="20% - Акцент1 3" xfId="218" xr:uid="{00000000-0005-0000-0000-0000D0000000}"/>
    <cellStyle name="20% - Акцент1 4" xfId="219" xr:uid="{00000000-0005-0000-0000-0000D1000000}"/>
    <cellStyle name="20% - Акцент1 5" xfId="220" xr:uid="{00000000-0005-0000-0000-0000D2000000}"/>
    <cellStyle name="20% - Акцент1 6" xfId="221" xr:uid="{00000000-0005-0000-0000-0000D3000000}"/>
    <cellStyle name="20% - Акцент2 2" xfId="222" xr:uid="{00000000-0005-0000-0000-0000D4000000}"/>
    <cellStyle name="20% - Акцент2 2 2" xfId="223" xr:uid="{00000000-0005-0000-0000-0000D5000000}"/>
    <cellStyle name="20% - Акцент2 2 3" xfId="224" xr:uid="{00000000-0005-0000-0000-0000D6000000}"/>
    <cellStyle name="20% - Акцент2 2 4" xfId="225" xr:uid="{00000000-0005-0000-0000-0000D7000000}"/>
    <cellStyle name="20% - Акцент2 3" xfId="226" xr:uid="{00000000-0005-0000-0000-0000D8000000}"/>
    <cellStyle name="20% - Акцент2 4" xfId="227" xr:uid="{00000000-0005-0000-0000-0000D9000000}"/>
    <cellStyle name="20% - Акцент2 5" xfId="228" xr:uid="{00000000-0005-0000-0000-0000DA000000}"/>
    <cellStyle name="20% - Акцент2 6" xfId="229" xr:uid="{00000000-0005-0000-0000-0000DB000000}"/>
    <cellStyle name="20% - Акцент3 2" xfId="230" xr:uid="{00000000-0005-0000-0000-0000DC000000}"/>
    <cellStyle name="20% - Акцент3 2 2" xfId="231" xr:uid="{00000000-0005-0000-0000-0000DD000000}"/>
    <cellStyle name="20% - Акцент3 2 3" xfId="232" xr:uid="{00000000-0005-0000-0000-0000DE000000}"/>
    <cellStyle name="20% - Акцент3 2 4" xfId="233" xr:uid="{00000000-0005-0000-0000-0000DF000000}"/>
    <cellStyle name="20% - Акцент3 3" xfId="234" xr:uid="{00000000-0005-0000-0000-0000E0000000}"/>
    <cellStyle name="20% - Акцент3 4" xfId="235" xr:uid="{00000000-0005-0000-0000-0000E1000000}"/>
    <cellStyle name="20% - Акцент3 5" xfId="236" xr:uid="{00000000-0005-0000-0000-0000E2000000}"/>
    <cellStyle name="20% - Акцент3 6" xfId="237" xr:uid="{00000000-0005-0000-0000-0000E3000000}"/>
    <cellStyle name="20% - Акцент4 2" xfId="238" xr:uid="{00000000-0005-0000-0000-0000E4000000}"/>
    <cellStyle name="20% - Акцент4 2 2" xfId="239" xr:uid="{00000000-0005-0000-0000-0000E5000000}"/>
    <cellStyle name="20% - Акцент4 2 3" xfId="240" xr:uid="{00000000-0005-0000-0000-0000E6000000}"/>
    <cellStyle name="20% - Акцент4 2 4" xfId="241" xr:uid="{00000000-0005-0000-0000-0000E7000000}"/>
    <cellStyle name="20% - Акцент4 3" xfId="242" xr:uid="{00000000-0005-0000-0000-0000E8000000}"/>
    <cellStyle name="20% - Акцент4 4" xfId="243" xr:uid="{00000000-0005-0000-0000-0000E9000000}"/>
    <cellStyle name="20% - Акцент4 5" xfId="244" xr:uid="{00000000-0005-0000-0000-0000EA000000}"/>
    <cellStyle name="20% - Акцент4 6" xfId="245" xr:uid="{00000000-0005-0000-0000-0000EB000000}"/>
    <cellStyle name="20% - Акцент5 2" xfId="246" xr:uid="{00000000-0005-0000-0000-0000EC000000}"/>
    <cellStyle name="20% - Акцент5 2 2" xfId="247" xr:uid="{00000000-0005-0000-0000-0000ED000000}"/>
    <cellStyle name="20% - Акцент5 2 3" xfId="248" xr:uid="{00000000-0005-0000-0000-0000EE000000}"/>
    <cellStyle name="20% - Акцент5 2 4" xfId="249" xr:uid="{00000000-0005-0000-0000-0000EF000000}"/>
    <cellStyle name="20% - Акцент5 3" xfId="250" xr:uid="{00000000-0005-0000-0000-0000F0000000}"/>
    <cellStyle name="20% - Акцент5 4" xfId="251" xr:uid="{00000000-0005-0000-0000-0000F1000000}"/>
    <cellStyle name="20% - Акцент5 5" xfId="252" xr:uid="{00000000-0005-0000-0000-0000F2000000}"/>
    <cellStyle name="20% - Акцент5 6" xfId="253" xr:uid="{00000000-0005-0000-0000-0000F3000000}"/>
    <cellStyle name="20% - Акцент6 2" xfId="254" xr:uid="{00000000-0005-0000-0000-0000F4000000}"/>
    <cellStyle name="20% - Акцент6 2 2" xfId="255" xr:uid="{00000000-0005-0000-0000-0000F5000000}"/>
    <cellStyle name="20% - Акцент6 2 3" xfId="256" xr:uid="{00000000-0005-0000-0000-0000F6000000}"/>
    <cellStyle name="20% - Акцент6 2 4" xfId="257" xr:uid="{00000000-0005-0000-0000-0000F7000000}"/>
    <cellStyle name="20% - Акцент6 3" xfId="258" xr:uid="{00000000-0005-0000-0000-0000F8000000}"/>
    <cellStyle name="20% - Акцент6 4" xfId="259" xr:uid="{00000000-0005-0000-0000-0000F9000000}"/>
    <cellStyle name="20% - Акцент6 5" xfId="260" xr:uid="{00000000-0005-0000-0000-0000FA000000}"/>
    <cellStyle name="20% - Акцент6 6" xfId="261" xr:uid="{00000000-0005-0000-0000-0000FB000000}"/>
    <cellStyle name="3. Вид услуги" xfId="262" xr:uid="{00000000-0005-0000-0000-0000FC000000}"/>
    <cellStyle name="3. Заголовок подраздела" xfId="263" xr:uid="{00000000-0005-0000-0000-0000FD000000}"/>
    <cellStyle name="4,5,6. Цена" xfId="264" xr:uid="{00000000-0005-0000-0000-0000FE000000}"/>
    <cellStyle name="40% - Акцент1 2" xfId="265" xr:uid="{00000000-0005-0000-0000-0000FF000000}"/>
    <cellStyle name="40% - Акцент1 2 2" xfId="266" xr:uid="{00000000-0005-0000-0000-000000010000}"/>
    <cellStyle name="40% - Акцент1 2 3" xfId="267" xr:uid="{00000000-0005-0000-0000-000001010000}"/>
    <cellStyle name="40% - Акцент1 2 4" xfId="268" xr:uid="{00000000-0005-0000-0000-000002010000}"/>
    <cellStyle name="40% - Акцент1 3" xfId="269" xr:uid="{00000000-0005-0000-0000-000003010000}"/>
    <cellStyle name="40% - Акцент1 4" xfId="270" xr:uid="{00000000-0005-0000-0000-000004010000}"/>
    <cellStyle name="40% - Акцент1 5" xfId="271" xr:uid="{00000000-0005-0000-0000-000005010000}"/>
    <cellStyle name="40% - Акцент1 6" xfId="272" xr:uid="{00000000-0005-0000-0000-000006010000}"/>
    <cellStyle name="40% - Акцент2 2" xfId="273" xr:uid="{00000000-0005-0000-0000-000007010000}"/>
    <cellStyle name="40% - Акцент2 2 2" xfId="274" xr:uid="{00000000-0005-0000-0000-000008010000}"/>
    <cellStyle name="40% - Акцент2 2 3" xfId="275" xr:uid="{00000000-0005-0000-0000-000009010000}"/>
    <cellStyle name="40% - Акцент2 2 4" xfId="276" xr:uid="{00000000-0005-0000-0000-00000A010000}"/>
    <cellStyle name="40% - Акцент2 3" xfId="277" xr:uid="{00000000-0005-0000-0000-00000B010000}"/>
    <cellStyle name="40% - Акцент2 4" xfId="278" xr:uid="{00000000-0005-0000-0000-00000C010000}"/>
    <cellStyle name="40% - Акцент2 5" xfId="279" xr:uid="{00000000-0005-0000-0000-00000D010000}"/>
    <cellStyle name="40% - Акцент2 6" xfId="280" xr:uid="{00000000-0005-0000-0000-00000E010000}"/>
    <cellStyle name="40% - Акцент3 2" xfId="281" xr:uid="{00000000-0005-0000-0000-00000F010000}"/>
    <cellStyle name="40% - Акцент3 2 2" xfId="282" xr:uid="{00000000-0005-0000-0000-000010010000}"/>
    <cellStyle name="40% - Акцент3 2 3" xfId="283" xr:uid="{00000000-0005-0000-0000-000011010000}"/>
    <cellStyle name="40% - Акцент3 2 4" xfId="284" xr:uid="{00000000-0005-0000-0000-000012010000}"/>
    <cellStyle name="40% - Акцент3 3" xfId="285" xr:uid="{00000000-0005-0000-0000-000013010000}"/>
    <cellStyle name="40% - Акцент3 4" xfId="286" xr:uid="{00000000-0005-0000-0000-000014010000}"/>
    <cellStyle name="40% - Акцент3 5" xfId="287" xr:uid="{00000000-0005-0000-0000-000015010000}"/>
    <cellStyle name="40% - Акцент3 6" xfId="288" xr:uid="{00000000-0005-0000-0000-000016010000}"/>
    <cellStyle name="40% - Акцент4 2" xfId="289" xr:uid="{00000000-0005-0000-0000-000017010000}"/>
    <cellStyle name="40% - Акцент4 2 2" xfId="290" xr:uid="{00000000-0005-0000-0000-000018010000}"/>
    <cellStyle name="40% - Акцент4 2 3" xfId="291" xr:uid="{00000000-0005-0000-0000-000019010000}"/>
    <cellStyle name="40% - Акцент4 2 4" xfId="292" xr:uid="{00000000-0005-0000-0000-00001A010000}"/>
    <cellStyle name="40% - Акцент4 3" xfId="293" xr:uid="{00000000-0005-0000-0000-00001B010000}"/>
    <cellStyle name="40% - Акцент4 4" xfId="294" xr:uid="{00000000-0005-0000-0000-00001C010000}"/>
    <cellStyle name="40% - Акцент4 5" xfId="295" xr:uid="{00000000-0005-0000-0000-00001D010000}"/>
    <cellStyle name="40% - Акцент4 6" xfId="296" xr:uid="{00000000-0005-0000-0000-00001E010000}"/>
    <cellStyle name="40% - Акцент5 2" xfId="297" xr:uid="{00000000-0005-0000-0000-00001F010000}"/>
    <cellStyle name="40% - Акцент5 2 2" xfId="298" xr:uid="{00000000-0005-0000-0000-000020010000}"/>
    <cellStyle name="40% - Акцент5 2 3" xfId="299" xr:uid="{00000000-0005-0000-0000-000021010000}"/>
    <cellStyle name="40% - Акцент5 2 4" xfId="300" xr:uid="{00000000-0005-0000-0000-000022010000}"/>
    <cellStyle name="40% - Акцент5 3" xfId="301" xr:uid="{00000000-0005-0000-0000-000023010000}"/>
    <cellStyle name="40% - Акцент5 4" xfId="302" xr:uid="{00000000-0005-0000-0000-000024010000}"/>
    <cellStyle name="40% - Акцент5 5" xfId="303" xr:uid="{00000000-0005-0000-0000-000025010000}"/>
    <cellStyle name="40% - Акцент5 6" xfId="304" xr:uid="{00000000-0005-0000-0000-000026010000}"/>
    <cellStyle name="40% - Акцент6 2" xfId="305" xr:uid="{00000000-0005-0000-0000-000027010000}"/>
    <cellStyle name="40% - Акцент6 2 2" xfId="306" xr:uid="{00000000-0005-0000-0000-000028010000}"/>
    <cellStyle name="40% - Акцент6 2 3" xfId="307" xr:uid="{00000000-0005-0000-0000-000029010000}"/>
    <cellStyle name="40% - Акцент6 2 4" xfId="308" xr:uid="{00000000-0005-0000-0000-00002A010000}"/>
    <cellStyle name="40% - Акцент6 3" xfId="309" xr:uid="{00000000-0005-0000-0000-00002B010000}"/>
    <cellStyle name="40% - Акцент6 4" xfId="310" xr:uid="{00000000-0005-0000-0000-00002C010000}"/>
    <cellStyle name="40% - Акцент6 5" xfId="311" xr:uid="{00000000-0005-0000-0000-00002D010000}"/>
    <cellStyle name="40% - Акцент6 6" xfId="312" xr:uid="{00000000-0005-0000-0000-00002E010000}"/>
    <cellStyle name="60% - Акцент1 2" xfId="313" xr:uid="{00000000-0005-0000-0000-00002F010000}"/>
    <cellStyle name="60% - Акцент1 2 2" xfId="314" xr:uid="{00000000-0005-0000-0000-000030010000}"/>
    <cellStyle name="60% - Акцент1 2 3" xfId="315" xr:uid="{00000000-0005-0000-0000-000031010000}"/>
    <cellStyle name="60% - Акцент1 2 4" xfId="316" xr:uid="{00000000-0005-0000-0000-000032010000}"/>
    <cellStyle name="60% - Акцент1 3" xfId="317" xr:uid="{00000000-0005-0000-0000-000033010000}"/>
    <cellStyle name="60% - Акцент1 4" xfId="318" xr:uid="{00000000-0005-0000-0000-000034010000}"/>
    <cellStyle name="60% - Акцент1 5" xfId="319" xr:uid="{00000000-0005-0000-0000-000035010000}"/>
    <cellStyle name="60% - Акцент1 6" xfId="320" xr:uid="{00000000-0005-0000-0000-000036010000}"/>
    <cellStyle name="60% - Акцент2 2" xfId="321" xr:uid="{00000000-0005-0000-0000-000037010000}"/>
    <cellStyle name="60% - Акцент2 2 2" xfId="322" xr:uid="{00000000-0005-0000-0000-000038010000}"/>
    <cellStyle name="60% - Акцент2 2 3" xfId="323" xr:uid="{00000000-0005-0000-0000-000039010000}"/>
    <cellStyle name="60% - Акцент2 2 4" xfId="324" xr:uid="{00000000-0005-0000-0000-00003A010000}"/>
    <cellStyle name="60% - Акцент2 3" xfId="325" xr:uid="{00000000-0005-0000-0000-00003B010000}"/>
    <cellStyle name="60% - Акцент2 4" xfId="326" xr:uid="{00000000-0005-0000-0000-00003C010000}"/>
    <cellStyle name="60% - Акцент2 5" xfId="327" xr:uid="{00000000-0005-0000-0000-00003D010000}"/>
    <cellStyle name="60% - Акцент2 6" xfId="328" xr:uid="{00000000-0005-0000-0000-00003E010000}"/>
    <cellStyle name="60% - Акцент3 2" xfId="329" xr:uid="{00000000-0005-0000-0000-00003F010000}"/>
    <cellStyle name="60% - Акцент3 2 2" xfId="330" xr:uid="{00000000-0005-0000-0000-000040010000}"/>
    <cellStyle name="60% - Акцент3 2 3" xfId="331" xr:uid="{00000000-0005-0000-0000-000041010000}"/>
    <cellStyle name="60% - Акцент3 2 4" xfId="332" xr:uid="{00000000-0005-0000-0000-000042010000}"/>
    <cellStyle name="60% - Акцент3 3" xfId="333" xr:uid="{00000000-0005-0000-0000-000043010000}"/>
    <cellStyle name="60% - Акцент3 4" xfId="334" xr:uid="{00000000-0005-0000-0000-000044010000}"/>
    <cellStyle name="60% - Акцент3 5" xfId="335" xr:uid="{00000000-0005-0000-0000-000045010000}"/>
    <cellStyle name="60% - Акцент3 6" xfId="336" xr:uid="{00000000-0005-0000-0000-000046010000}"/>
    <cellStyle name="60% - Акцент4 2" xfId="337" xr:uid="{00000000-0005-0000-0000-000047010000}"/>
    <cellStyle name="60% - Акцент4 2 2" xfId="338" xr:uid="{00000000-0005-0000-0000-000048010000}"/>
    <cellStyle name="60% - Акцент4 2 3" xfId="339" xr:uid="{00000000-0005-0000-0000-000049010000}"/>
    <cellStyle name="60% - Акцент4 2 4" xfId="340" xr:uid="{00000000-0005-0000-0000-00004A010000}"/>
    <cellStyle name="60% - Акцент4 3" xfId="341" xr:uid="{00000000-0005-0000-0000-00004B010000}"/>
    <cellStyle name="60% - Акцент4 4" xfId="342" xr:uid="{00000000-0005-0000-0000-00004C010000}"/>
    <cellStyle name="60% - Акцент4 5" xfId="343" xr:uid="{00000000-0005-0000-0000-00004D010000}"/>
    <cellStyle name="60% - Акцент4 6" xfId="344" xr:uid="{00000000-0005-0000-0000-00004E010000}"/>
    <cellStyle name="60% - Акцент5 2" xfId="345" xr:uid="{00000000-0005-0000-0000-00004F010000}"/>
    <cellStyle name="60% - Акцент5 2 2" xfId="346" xr:uid="{00000000-0005-0000-0000-000050010000}"/>
    <cellStyle name="60% - Акцент5 2 3" xfId="347" xr:uid="{00000000-0005-0000-0000-000051010000}"/>
    <cellStyle name="60% - Акцент5 2 4" xfId="348" xr:uid="{00000000-0005-0000-0000-000052010000}"/>
    <cellStyle name="60% - Акцент5 3" xfId="349" xr:uid="{00000000-0005-0000-0000-000053010000}"/>
    <cellStyle name="60% - Акцент5 4" xfId="350" xr:uid="{00000000-0005-0000-0000-000054010000}"/>
    <cellStyle name="60% - Акцент5 5" xfId="351" xr:uid="{00000000-0005-0000-0000-000055010000}"/>
    <cellStyle name="60% - Акцент5 6" xfId="352" xr:uid="{00000000-0005-0000-0000-000056010000}"/>
    <cellStyle name="60% - Акцент6 2" xfId="353" xr:uid="{00000000-0005-0000-0000-000057010000}"/>
    <cellStyle name="60% - Акцент6 2 2" xfId="354" xr:uid="{00000000-0005-0000-0000-000058010000}"/>
    <cellStyle name="60% - Акцент6 2 3" xfId="355" xr:uid="{00000000-0005-0000-0000-000059010000}"/>
    <cellStyle name="60% - Акцент6 2 4" xfId="356" xr:uid="{00000000-0005-0000-0000-00005A010000}"/>
    <cellStyle name="60% - Акцент6 3" xfId="357" xr:uid="{00000000-0005-0000-0000-00005B010000}"/>
    <cellStyle name="60% - Акцент6 4" xfId="358" xr:uid="{00000000-0005-0000-0000-00005C010000}"/>
    <cellStyle name="60% - Акцент6 5" xfId="359" xr:uid="{00000000-0005-0000-0000-00005D010000}"/>
    <cellStyle name="60% - Акцент6 6" xfId="360" xr:uid="{00000000-0005-0000-0000-00005E010000}"/>
    <cellStyle name="Aaia?iue [0]_laroux" xfId="361" xr:uid="{00000000-0005-0000-0000-00005F010000}"/>
    <cellStyle name="Aaia?iue_laroux" xfId="362" xr:uid="{00000000-0005-0000-0000-000060010000}"/>
    <cellStyle name="Accent1" xfId="363" xr:uid="{00000000-0005-0000-0000-000061010000}"/>
    <cellStyle name="Accent1 - 20%" xfId="364" xr:uid="{00000000-0005-0000-0000-000062010000}"/>
    <cellStyle name="Accent1 - 40%" xfId="365" xr:uid="{00000000-0005-0000-0000-000063010000}"/>
    <cellStyle name="Accent1 - 60%" xfId="366" xr:uid="{00000000-0005-0000-0000-000064010000}"/>
    <cellStyle name="Accent2" xfId="367" xr:uid="{00000000-0005-0000-0000-000065010000}"/>
    <cellStyle name="Accent2 - 20%" xfId="368" xr:uid="{00000000-0005-0000-0000-000066010000}"/>
    <cellStyle name="Accent2 - 40%" xfId="369" xr:uid="{00000000-0005-0000-0000-000067010000}"/>
    <cellStyle name="Accent2 - 60%" xfId="370" xr:uid="{00000000-0005-0000-0000-000068010000}"/>
    <cellStyle name="Accent3" xfId="371" xr:uid="{00000000-0005-0000-0000-000069010000}"/>
    <cellStyle name="Accent3 - 20%" xfId="372" xr:uid="{00000000-0005-0000-0000-00006A010000}"/>
    <cellStyle name="Accent3 - 40%" xfId="373" xr:uid="{00000000-0005-0000-0000-00006B010000}"/>
    <cellStyle name="Accent3 - 60%" xfId="374" xr:uid="{00000000-0005-0000-0000-00006C010000}"/>
    <cellStyle name="Accent4" xfId="375" xr:uid="{00000000-0005-0000-0000-00006D010000}"/>
    <cellStyle name="Accent4 - 20%" xfId="376" xr:uid="{00000000-0005-0000-0000-00006E010000}"/>
    <cellStyle name="Accent4 - 40%" xfId="377" xr:uid="{00000000-0005-0000-0000-00006F010000}"/>
    <cellStyle name="Accent4 - 60%" xfId="378" xr:uid="{00000000-0005-0000-0000-000070010000}"/>
    <cellStyle name="Accent5" xfId="379" xr:uid="{00000000-0005-0000-0000-000071010000}"/>
    <cellStyle name="Accent5 - 20%" xfId="380" xr:uid="{00000000-0005-0000-0000-000072010000}"/>
    <cellStyle name="Accent5 - 40%" xfId="381" xr:uid="{00000000-0005-0000-0000-000073010000}"/>
    <cellStyle name="Accent5 - 60%" xfId="382" xr:uid="{00000000-0005-0000-0000-000074010000}"/>
    <cellStyle name="Accent6" xfId="383" xr:uid="{00000000-0005-0000-0000-000075010000}"/>
    <cellStyle name="Accent6 - 20%" xfId="384" xr:uid="{00000000-0005-0000-0000-000076010000}"/>
    <cellStyle name="Accent6 - 40%" xfId="385" xr:uid="{00000000-0005-0000-0000-000077010000}"/>
    <cellStyle name="Accent6 - 60%" xfId="386" xr:uid="{00000000-0005-0000-0000-000078010000}"/>
    <cellStyle name="account" xfId="387" xr:uid="{00000000-0005-0000-0000-000079010000}"/>
    <cellStyle name="Accounting" xfId="388" xr:uid="{00000000-0005-0000-0000-00007A010000}"/>
    <cellStyle name="Acdldnnueer" xfId="389" xr:uid="{00000000-0005-0000-0000-00007B010000}"/>
    <cellStyle name="Alilciue [0]_13o2" xfId="390" xr:uid="{00000000-0005-0000-0000-00007C010000}"/>
    <cellStyle name="Alilciue_13o2" xfId="391" xr:uid="{00000000-0005-0000-0000-00007D010000}"/>
    <cellStyle name="Amount_from_OSV" xfId="392" xr:uid="{00000000-0005-0000-0000-00007E010000}"/>
    <cellStyle name="Anna" xfId="393" xr:uid="{00000000-0005-0000-0000-00007F010000}"/>
    <cellStyle name="AP_AR_UPS" xfId="394" xr:uid="{00000000-0005-0000-0000-000080010000}"/>
    <cellStyle name="BackGround_General" xfId="395" xr:uid="{00000000-0005-0000-0000-000081010000}"/>
    <cellStyle name="Bad" xfId="396" xr:uid="{00000000-0005-0000-0000-000082010000}"/>
    <cellStyle name="blank" xfId="397" xr:uid="{00000000-0005-0000-0000-000083010000}"/>
    <cellStyle name="Blue_Calculation" xfId="398" xr:uid="{00000000-0005-0000-0000-000084010000}"/>
    <cellStyle name="border" xfId="399" xr:uid="{00000000-0005-0000-0000-000085010000}"/>
    <cellStyle name="border 2" xfId="400" xr:uid="{00000000-0005-0000-0000-000086010000}"/>
    <cellStyle name="border 3" xfId="401" xr:uid="{00000000-0005-0000-0000-000087010000}"/>
    <cellStyle name="border 4" xfId="402" xr:uid="{00000000-0005-0000-0000-000088010000}"/>
    <cellStyle name="border 5" xfId="403" xr:uid="{00000000-0005-0000-0000-000089010000}"/>
    <cellStyle name="border 6" xfId="404" xr:uid="{00000000-0005-0000-0000-00008A010000}"/>
    <cellStyle name="border 7" xfId="405" xr:uid="{00000000-0005-0000-0000-00008B010000}"/>
    <cellStyle name="border 8" xfId="406" xr:uid="{00000000-0005-0000-0000-00008C010000}"/>
    <cellStyle name="border 9" xfId="407" xr:uid="{00000000-0005-0000-0000-00008D010000}"/>
    <cellStyle name="border_DDS_Inv_2011" xfId="408" xr:uid="{00000000-0005-0000-0000-00008E010000}"/>
    <cellStyle name="Calculation" xfId="409" xr:uid="{00000000-0005-0000-0000-00008F010000}"/>
    <cellStyle name="Chapter title" xfId="410" xr:uid="{00000000-0005-0000-0000-000090010000}"/>
    <cellStyle name="Chapter Total" xfId="411" xr:uid="{00000000-0005-0000-0000-000091010000}"/>
    <cellStyle name="Check" xfId="412" xr:uid="{00000000-0005-0000-0000-000092010000}"/>
    <cellStyle name="Check Cell" xfId="413" xr:uid="{00000000-0005-0000-0000-000093010000}"/>
    <cellStyle name="Comma [0]_irl tel sep5" xfId="414" xr:uid="{00000000-0005-0000-0000-000094010000}"/>
    <cellStyle name="Comma_Footnotes_NNovgorod" xfId="415" xr:uid="{00000000-0005-0000-0000-000095010000}"/>
    <cellStyle name="Currency [0]_irl tel sep5" xfId="416" xr:uid="{00000000-0005-0000-0000-000096010000}"/>
    <cellStyle name="Currency_HP-COMP" xfId="417" xr:uid="{00000000-0005-0000-0000-000097010000}"/>
    <cellStyle name="Date" xfId="418" xr:uid="{00000000-0005-0000-0000-000098010000}"/>
    <cellStyle name="default" xfId="419" xr:uid="{00000000-0005-0000-0000-000099010000}"/>
    <cellStyle name="Dezimal [0]_Compiling Utility Macros" xfId="420" xr:uid="{00000000-0005-0000-0000-00009A010000}"/>
    <cellStyle name="Dezimal_Compiling Utility Macros" xfId="421" xr:uid="{00000000-0005-0000-0000-00009B010000}"/>
    <cellStyle name="Emphasis 1" xfId="422" xr:uid="{00000000-0005-0000-0000-00009C010000}"/>
    <cellStyle name="Emphasis 2" xfId="423" xr:uid="{00000000-0005-0000-0000-00009D010000}"/>
    <cellStyle name="Emphasis 3" xfId="424" xr:uid="{00000000-0005-0000-0000-00009E010000}"/>
    <cellStyle name="Flag" xfId="425" xr:uid="{00000000-0005-0000-0000-00009F010000}"/>
    <cellStyle name="Flag 2" xfId="426" xr:uid="{00000000-0005-0000-0000-0000A0010000}"/>
    <cellStyle name="Flag 3" xfId="427" xr:uid="{00000000-0005-0000-0000-0000A1010000}"/>
    <cellStyle name="Flag 4" xfId="428" xr:uid="{00000000-0005-0000-0000-0000A2010000}"/>
    <cellStyle name="Flag 5" xfId="429" xr:uid="{00000000-0005-0000-0000-0000A3010000}"/>
    <cellStyle name="Flag 6" xfId="430" xr:uid="{00000000-0005-0000-0000-0000A4010000}"/>
    <cellStyle name="Flag 7" xfId="431" xr:uid="{00000000-0005-0000-0000-0000A5010000}"/>
    <cellStyle name="Flag 8" xfId="432" xr:uid="{00000000-0005-0000-0000-0000A6010000}"/>
    <cellStyle name="Flag 9" xfId="433" xr:uid="{00000000-0005-0000-0000-0000A7010000}"/>
    <cellStyle name="Flag_DDS_Inv_2011" xfId="434" xr:uid="{00000000-0005-0000-0000-0000A8010000}"/>
    <cellStyle name="Footnotes" xfId="435" xr:uid="{00000000-0005-0000-0000-0000A9010000}"/>
    <cellStyle name="Footnotes 2" xfId="436" xr:uid="{00000000-0005-0000-0000-0000AA010000}"/>
    <cellStyle name="Footnotes 3" xfId="437" xr:uid="{00000000-0005-0000-0000-0000AB010000}"/>
    <cellStyle name="Footnotes 4" xfId="438" xr:uid="{00000000-0005-0000-0000-0000AC010000}"/>
    <cellStyle name="Footnotes 5" xfId="439" xr:uid="{00000000-0005-0000-0000-0000AD010000}"/>
    <cellStyle name="Footnotes 6" xfId="440" xr:uid="{00000000-0005-0000-0000-0000AE010000}"/>
    <cellStyle name="Footnotes 7" xfId="441" xr:uid="{00000000-0005-0000-0000-0000AF010000}"/>
    <cellStyle name="Footnotes 8" xfId="442" xr:uid="{00000000-0005-0000-0000-0000B0010000}"/>
    <cellStyle name="Footnotes 9" xfId="443" xr:uid="{00000000-0005-0000-0000-0000B1010000}"/>
    <cellStyle name="For_B_column" xfId="444" xr:uid="{00000000-0005-0000-0000-0000B2010000}"/>
    <cellStyle name="General_Ledger" xfId="445" xr:uid="{00000000-0005-0000-0000-0000B3010000}"/>
    <cellStyle name="Good" xfId="446" xr:uid="{00000000-0005-0000-0000-0000B4010000}"/>
    <cellStyle name="Grey" xfId="447" xr:uid="{00000000-0005-0000-0000-0000B5010000}"/>
    <cellStyle name="Grey 2" xfId="448" xr:uid="{00000000-0005-0000-0000-0000B6010000}"/>
    <cellStyle name="Grey 3" xfId="449" xr:uid="{00000000-0005-0000-0000-0000B7010000}"/>
    <cellStyle name="Grey 4" xfId="450" xr:uid="{00000000-0005-0000-0000-0000B8010000}"/>
    <cellStyle name="Grey 5" xfId="451" xr:uid="{00000000-0005-0000-0000-0000B9010000}"/>
    <cellStyle name="Grey 6" xfId="452" xr:uid="{00000000-0005-0000-0000-0000BA010000}"/>
    <cellStyle name="Grey 7" xfId="453" xr:uid="{00000000-0005-0000-0000-0000BB010000}"/>
    <cellStyle name="Grey 8" xfId="454" xr:uid="{00000000-0005-0000-0000-0000BC010000}"/>
    <cellStyle name="Grey 9" xfId="455" xr:uid="{00000000-0005-0000-0000-0000BD010000}"/>
    <cellStyle name="Grey_DDS_Inv_2011" xfId="456" xr:uid="{00000000-0005-0000-0000-0000BE010000}"/>
    <cellStyle name="grid" xfId="457" xr:uid="{00000000-0005-0000-0000-0000BF010000}"/>
    <cellStyle name="Heading 1" xfId="458" xr:uid="{00000000-0005-0000-0000-0000C0010000}"/>
    <cellStyle name="Heading 2" xfId="459" xr:uid="{00000000-0005-0000-0000-0000C1010000}"/>
    <cellStyle name="Heading 3" xfId="460" xr:uid="{00000000-0005-0000-0000-0000C2010000}"/>
    <cellStyle name="Heading 4" xfId="461" xr:uid="{00000000-0005-0000-0000-0000C3010000}"/>
    <cellStyle name="Heading2" xfId="462" xr:uid="{00000000-0005-0000-0000-0000C4010000}"/>
    <cellStyle name="Heading2 2" xfId="463" xr:uid="{00000000-0005-0000-0000-0000C5010000}"/>
    <cellStyle name="Heading2 3" xfId="464" xr:uid="{00000000-0005-0000-0000-0000C6010000}"/>
    <cellStyle name="Heading2 4" xfId="465" xr:uid="{00000000-0005-0000-0000-0000C7010000}"/>
    <cellStyle name="Heading2 5" xfId="466" xr:uid="{00000000-0005-0000-0000-0000C8010000}"/>
    <cellStyle name="Heading2 6" xfId="467" xr:uid="{00000000-0005-0000-0000-0000C9010000}"/>
    <cellStyle name="Heading2 7" xfId="468" xr:uid="{00000000-0005-0000-0000-0000CA010000}"/>
    <cellStyle name="Heading2 8" xfId="469" xr:uid="{00000000-0005-0000-0000-0000CB010000}"/>
    <cellStyle name="Heading2 9" xfId="470" xr:uid="{00000000-0005-0000-0000-0000CC010000}"/>
    <cellStyle name="Heading2_DDS_Inv_2011" xfId="471" xr:uid="{00000000-0005-0000-0000-0000CD010000}"/>
    <cellStyle name="Heading3" xfId="472" xr:uid="{00000000-0005-0000-0000-0000CE010000}"/>
    <cellStyle name="Heading3 2" xfId="473" xr:uid="{00000000-0005-0000-0000-0000CF010000}"/>
    <cellStyle name="Heading3 3" xfId="474" xr:uid="{00000000-0005-0000-0000-0000D0010000}"/>
    <cellStyle name="Heading3 4" xfId="475" xr:uid="{00000000-0005-0000-0000-0000D1010000}"/>
    <cellStyle name="Heading3 5" xfId="476" xr:uid="{00000000-0005-0000-0000-0000D2010000}"/>
    <cellStyle name="Heading3 6" xfId="477" xr:uid="{00000000-0005-0000-0000-0000D3010000}"/>
    <cellStyle name="Heading3 7" xfId="478" xr:uid="{00000000-0005-0000-0000-0000D4010000}"/>
    <cellStyle name="Heading3 8" xfId="479" xr:uid="{00000000-0005-0000-0000-0000D5010000}"/>
    <cellStyle name="Heading3 9" xfId="480" xr:uid="{00000000-0005-0000-0000-0000D6010000}"/>
    <cellStyle name="Heading3_DDS_Inv_2011" xfId="481" xr:uid="{00000000-0005-0000-0000-0000D7010000}"/>
    <cellStyle name="Headline I" xfId="482" xr:uid="{00000000-0005-0000-0000-0000D8010000}"/>
    <cellStyle name="Headline I 2" xfId="483" xr:uid="{00000000-0005-0000-0000-0000D9010000}"/>
    <cellStyle name="Headline I 3" xfId="484" xr:uid="{00000000-0005-0000-0000-0000DA010000}"/>
    <cellStyle name="Headline I 4" xfId="485" xr:uid="{00000000-0005-0000-0000-0000DB010000}"/>
    <cellStyle name="Headline I 5" xfId="486" xr:uid="{00000000-0005-0000-0000-0000DC010000}"/>
    <cellStyle name="Headline I 6" xfId="487" xr:uid="{00000000-0005-0000-0000-0000DD010000}"/>
    <cellStyle name="Headline I 7" xfId="488" xr:uid="{00000000-0005-0000-0000-0000DE010000}"/>
    <cellStyle name="Headline I 8" xfId="489" xr:uid="{00000000-0005-0000-0000-0000DF010000}"/>
    <cellStyle name="Headline I 9" xfId="490" xr:uid="{00000000-0005-0000-0000-0000E0010000}"/>
    <cellStyle name="Headline I_DDS_Inv_2011" xfId="491" xr:uid="{00000000-0005-0000-0000-0000E1010000}"/>
    <cellStyle name="Headline II" xfId="492" xr:uid="{00000000-0005-0000-0000-0000E2010000}"/>
    <cellStyle name="Headline II 2" xfId="493" xr:uid="{00000000-0005-0000-0000-0000E3010000}"/>
    <cellStyle name="Headline II 3" xfId="494" xr:uid="{00000000-0005-0000-0000-0000E4010000}"/>
    <cellStyle name="Headline II 4" xfId="495" xr:uid="{00000000-0005-0000-0000-0000E5010000}"/>
    <cellStyle name="Headline II 5" xfId="496" xr:uid="{00000000-0005-0000-0000-0000E6010000}"/>
    <cellStyle name="Headline II 6" xfId="497" xr:uid="{00000000-0005-0000-0000-0000E7010000}"/>
    <cellStyle name="Headline II 7" xfId="498" xr:uid="{00000000-0005-0000-0000-0000E8010000}"/>
    <cellStyle name="Headline II 8" xfId="499" xr:uid="{00000000-0005-0000-0000-0000E9010000}"/>
    <cellStyle name="Headline II 9" xfId="500" xr:uid="{00000000-0005-0000-0000-0000EA010000}"/>
    <cellStyle name="Headline II_DDS_Inv_2011" xfId="501" xr:uid="{00000000-0005-0000-0000-0000EB010000}"/>
    <cellStyle name="Headline III" xfId="502" xr:uid="{00000000-0005-0000-0000-0000EC010000}"/>
    <cellStyle name="Headline III 2" xfId="503" xr:uid="{00000000-0005-0000-0000-0000ED010000}"/>
    <cellStyle name="Headline III 3" xfId="504" xr:uid="{00000000-0005-0000-0000-0000EE010000}"/>
    <cellStyle name="Headline III 4" xfId="505" xr:uid="{00000000-0005-0000-0000-0000EF010000}"/>
    <cellStyle name="Headline III 5" xfId="506" xr:uid="{00000000-0005-0000-0000-0000F0010000}"/>
    <cellStyle name="Headline III 6" xfId="507" xr:uid="{00000000-0005-0000-0000-0000F1010000}"/>
    <cellStyle name="Headline III 7" xfId="508" xr:uid="{00000000-0005-0000-0000-0000F2010000}"/>
    <cellStyle name="Headline III 8" xfId="509" xr:uid="{00000000-0005-0000-0000-0000F3010000}"/>
    <cellStyle name="Headline III 9" xfId="510" xr:uid="{00000000-0005-0000-0000-0000F4010000}"/>
    <cellStyle name="Headline III_DDS_Inv_2011" xfId="511" xr:uid="{00000000-0005-0000-0000-0000F5010000}"/>
    <cellStyle name="Hidden" xfId="512" xr:uid="{00000000-0005-0000-0000-0000F6010000}"/>
    <cellStyle name="Horizontal" xfId="513" xr:uid="{00000000-0005-0000-0000-0000F7010000}"/>
    <cellStyle name="hyperlink" xfId="514" xr:uid="{00000000-0005-0000-0000-0000F8010000}"/>
    <cellStyle name="Iau?iue_13o2" xfId="515" xr:uid="{00000000-0005-0000-0000-0000F9010000}"/>
    <cellStyle name="Input" xfId="516" xr:uid="{00000000-0005-0000-0000-0000FA010000}"/>
    <cellStyle name="Input [yellow]" xfId="517" xr:uid="{00000000-0005-0000-0000-0000FB010000}"/>
    <cellStyle name="Input_Any" xfId="518" xr:uid="{00000000-0005-0000-0000-0000FC010000}"/>
    <cellStyle name="Item Header" xfId="519" xr:uid="{00000000-0005-0000-0000-0000FD010000}"/>
    <cellStyle name="Just_Table" xfId="520" xr:uid="{00000000-0005-0000-0000-0000FE010000}"/>
    <cellStyle name="Komma (0)" xfId="521" xr:uid="{00000000-0005-0000-0000-0000FF010000}"/>
    <cellStyle name="Label_Blue" xfId="522" xr:uid="{00000000-0005-0000-0000-000000020000}"/>
    <cellStyle name="LeftTitle" xfId="523" xr:uid="{00000000-0005-0000-0000-000001020000}"/>
    <cellStyle name="Linked Cell" xfId="524" xr:uid="{00000000-0005-0000-0000-000002020000}"/>
    <cellStyle name="Neutral" xfId="525" xr:uid="{00000000-0005-0000-0000-000003020000}"/>
    <cellStyle name="No_Input" xfId="526" xr:uid="{00000000-0005-0000-0000-000004020000}"/>
    <cellStyle name="Normal - Style1" xfId="527" xr:uid="{00000000-0005-0000-0000-000005020000}"/>
    <cellStyle name="Normal 19" xfId="528" xr:uid="{00000000-0005-0000-0000-000006020000}"/>
    <cellStyle name="Normal 22" xfId="529" xr:uid="{00000000-0005-0000-0000-000007020000}"/>
    <cellStyle name="Normal_128 kbps_Multi Quote (2)" xfId="530" xr:uid="{00000000-0005-0000-0000-000008020000}"/>
    <cellStyle name="normalni_laroux" xfId="531" xr:uid="{00000000-0005-0000-0000-000009020000}"/>
    <cellStyle name="normбlnм_laroux" xfId="532" xr:uid="{00000000-0005-0000-0000-00000A020000}"/>
    <cellStyle name="Note" xfId="533" xr:uid="{00000000-0005-0000-0000-00000B020000}"/>
    <cellStyle name="Note 2" xfId="534" xr:uid="{00000000-0005-0000-0000-00000C020000}"/>
    <cellStyle name="Note 3" xfId="535" xr:uid="{00000000-0005-0000-0000-00000D020000}"/>
    <cellStyle name="Note 4" xfId="536" xr:uid="{00000000-0005-0000-0000-00000E020000}"/>
    <cellStyle name="Note 5" xfId="537" xr:uid="{00000000-0005-0000-0000-00000F020000}"/>
    <cellStyle name="Note 6" xfId="538" xr:uid="{00000000-0005-0000-0000-000010020000}"/>
    <cellStyle name="Note 7" xfId="539" xr:uid="{00000000-0005-0000-0000-000011020000}"/>
    <cellStyle name="Note 8" xfId="540" xr:uid="{00000000-0005-0000-0000-000012020000}"/>
    <cellStyle name="Note 9" xfId="541" xr:uid="{00000000-0005-0000-0000-000013020000}"/>
    <cellStyle name="Note_DDS_Inv_2011" xfId="542" xr:uid="{00000000-0005-0000-0000-000014020000}"/>
    <cellStyle name="Ociriniaue [0]_13o2" xfId="543" xr:uid="{00000000-0005-0000-0000-000015020000}"/>
    <cellStyle name="Ociriniaue_13o2" xfId="544" xr:uid="{00000000-0005-0000-0000-000016020000}"/>
    <cellStyle name="Option" xfId="545" xr:uid="{00000000-0005-0000-0000-000017020000}"/>
    <cellStyle name="OptionHeading" xfId="546" xr:uid="{00000000-0005-0000-0000-000018020000}"/>
    <cellStyle name="OptionHeading 2" xfId="547" xr:uid="{00000000-0005-0000-0000-000019020000}"/>
    <cellStyle name="OptionHeading 3" xfId="548" xr:uid="{00000000-0005-0000-0000-00001A020000}"/>
    <cellStyle name="OptionHeading 4" xfId="549" xr:uid="{00000000-0005-0000-0000-00001B020000}"/>
    <cellStyle name="OptionHeading 5" xfId="550" xr:uid="{00000000-0005-0000-0000-00001C020000}"/>
    <cellStyle name="OptionHeading 6" xfId="551" xr:uid="{00000000-0005-0000-0000-00001D020000}"/>
    <cellStyle name="OptionHeading 7" xfId="552" xr:uid="{00000000-0005-0000-0000-00001E020000}"/>
    <cellStyle name="OptionHeading 8" xfId="553" xr:uid="{00000000-0005-0000-0000-00001F020000}"/>
    <cellStyle name="OptionHeading 9" xfId="554" xr:uid="{00000000-0005-0000-0000-000020020000}"/>
    <cellStyle name="OptionHeading_DDS_Inv_2011" xfId="555" xr:uid="{00000000-0005-0000-0000-000021020000}"/>
    <cellStyle name="Ouny?e [0]_PR" xfId="556" xr:uid="{00000000-0005-0000-0000-000022020000}"/>
    <cellStyle name="Output" xfId="557" xr:uid="{00000000-0005-0000-0000-000023020000}"/>
    <cellStyle name="PageHeading" xfId="558" xr:uid="{00000000-0005-0000-0000-000024020000}"/>
    <cellStyle name="pagetitle" xfId="559" xr:uid="{00000000-0005-0000-0000-000025020000}"/>
    <cellStyle name="Percent [2]" xfId="560" xr:uid="{00000000-0005-0000-0000-000026020000}"/>
    <cellStyle name="Percent_PZ_tables" xfId="561" xr:uid="{00000000-0005-0000-0000-000027020000}"/>
    <cellStyle name="Percentage" xfId="562" xr:uid="{00000000-0005-0000-0000-000028020000}"/>
    <cellStyle name="Price" xfId="563" xr:uid="{00000000-0005-0000-0000-000029020000}"/>
    <cellStyle name="ProductClass" xfId="564" xr:uid="{00000000-0005-0000-0000-00002A020000}"/>
    <cellStyle name="QTitle" xfId="565" xr:uid="{00000000-0005-0000-0000-00002B020000}"/>
    <cellStyle name="Quote_Normal" xfId="566" xr:uid="{00000000-0005-0000-0000-00002C020000}"/>
    <cellStyle name="range" xfId="567" xr:uid="{00000000-0005-0000-0000-00002D020000}"/>
    <cellStyle name="range 10" xfId="568" xr:uid="{00000000-0005-0000-0000-00002E020000}"/>
    <cellStyle name="range 2" xfId="569" xr:uid="{00000000-0005-0000-0000-00002F020000}"/>
    <cellStyle name="range 3" xfId="570" xr:uid="{00000000-0005-0000-0000-000030020000}"/>
    <cellStyle name="range 4" xfId="571" xr:uid="{00000000-0005-0000-0000-000031020000}"/>
    <cellStyle name="range 5" xfId="572" xr:uid="{00000000-0005-0000-0000-000032020000}"/>
    <cellStyle name="range 6" xfId="573" xr:uid="{00000000-0005-0000-0000-000033020000}"/>
    <cellStyle name="range 7" xfId="574" xr:uid="{00000000-0005-0000-0000-000034020000}"/>
    <cellStyle name="range 8" xfId="575" xr:uid="{00000000-0005-0000-0000-000035020000}"/>
    <cellStyle name="range 9" xfId="576" xr:uid="{00000000-0005-0000-0000-000036020000}"/>
    <cellStyle name="range_DDS_Inv_2011" xfId="577" xr:uid="{00000000-0005-0000-0000-000037020000}"/>
    <cellStyle name="rep_complex_change" xfId="578" xr:uid="{00000000-0005-0000-0000-000038020000}"/>
    <cellStyle name="S3" xfId="579" xr:uid="{00000000-0005-0000-0000-000039020000}"/>
    <cellStyle name="S4" xfId="580" xr:uid="{00000000-0005-0000-0000-00003A020000}"/>
    <cellStyle name="Sheet Title" xfId="581" xr:uid="{00000000-0005-0000-0000-00003B020000}"/>
    <cellStyle name="Show_Sell" xfId="582" xr:uid="{00000000-0005-0000-0000-00003C020000}"/>
    <cellStyle name="stand_bord" xfId="583" xr:uid="{00000000-0005-0000-0000-00003D020000}"/>
    <cellStyle name="Standard_Anpassen der Amortisation" xfId="584" xr:uid="{00000000-0005-0000-0000-00003E020000}"/>
    <cellStyle name="Style 1" xfId="585" xr:uid="{00000000-0005-0000-0000-00003F020000}"/>
    <cellStyle name="Table" xfId="586" xr:uid="{00000000-0005-0000-0000-000040020000}"/>
    <cellStyle name="Table 2" xfId="587" xr:uid="{00000000-0005-0000-0000-000041020000}"/>
    <cellStyle name="Table 3" xfId="588" xr:uid="{00000000-0005-0000-0000-000042020000}"/>
    <cellStyle name="Table 4" xfId="589" xr:uid="{00000000-0005-0000-0000-000043020000}"/>
    <cellStyle name="Table 5" xfId="590" xr:uid="{00000000-0005-0000-0000-000044020000}"/>
    <cellStyle name="Table 6" xfId="591" xr:uid="{00000000-0005-0000-0000-000045020000}"/>
    <cellStyle name="Table 7" xfId="592" xr:uid="{00000000-0005-0000-0000-000046020000}"/>
    <cellStyle name="Table 8" xfId="593" xr:uid="{00000000-0005-0000-0000-000047020000}"/>
    <cellStyle name="Table 9" xfId="594" xr:uid="{00000000-0005-0000-0000-000048020000}"/>
    <cellStyle name="Table_Invest_11_факт_март_для КОРРЕКТИРОВКИ ПЛАНА" xfId="595" xr:uid="{00000000-0005-0000-0000-000049020000}"/>
    <cellStyle name="Title" xfId="596" xr:uid="{00000000-0005-0000-0000-00004A020000}"/>
    <cellStyle name="Total" xfId="597" xr:uid="{00000000-0005-0000-0000-00004B020000}"/>
    <cellStyle name="Tusental (0)_Blad1" xfId="598" xr:uid="{00000000-0005-0000-0000-00004C020000}"/>
    <cellStyle name="Tusental_Blad1" xfId="599" xr:uid="{00000000-0005-0000-0000-00004D020000}"/>
    <cellStyle name="Unit" xfId="600" xr:uid="{00000000-0005-0000-0000-00004E020000}"/>
    <cellStyle name="USD" xfId="601" xr:uid="{00000000-0005-0000-0000-00004F020000}"/>
    <cellStyle name="USDsum" xfId="602" xr:uid="{00000000-0005-0000-0000-000050020000}"/>
    <cellStyle name="Validation" xfId="603" xr:uid="{00000000-0005-0000-0000-000051020000}"/>
    <cellStyle name="Valuta (0)_Blad1" xfId="604" xr:uid="{00000000-0005-0000-0000-000052020000}"/>
    <cellStyle name="Valuta_Blad1" xfId="605" xr:uid="{00000000-0005-0000-0000-000053020000}"/>
    <cellStyle name="Vertical" xfId="606" xr:uid="{00000000-0005-0000-0000-000054020000}"/>
    <cellStyle name="Warning Text" xfId="607" xr:uid="{00000000-0005-0000-0000-000055020000}"/>
    <cellStyle name="white" xfId="608" xr:uid="{00000000-0005-0000-0000-000056020000}"/>
    <cellStyle name="Wдhrung [0]_Compiling Utility Macros" xfId="609" xr:uid="{00000000-0005-0000-0000-000057020000}"/>
    <cellStyle name="Wдhrung_Compiling Utility Macros" xfId="610" xr:uid="{00000000-0005-0000-0000-000058020000}"/>
    <cellStyle name="xx_data" xfId="3222" xr:uid="{00000000-0005-0000-0000-000059020000}"/>
    <cellStyle name="Yellow" xfId="611" xr:uid="{00000000-0005-0000-0000-00005A020000}"/>
    <cellStyle name="YelNumbersCurr" xfId="612" xr:uid="{00000000-0005-0000-0000-00005B020000}"/>
    <cellStyle name="YelNumbersCurr 2" xfId="613" xr:uid="{00000000-0005-0000-0000-00005C020000}"/>
    <cellStyle name="YelNumbersCurr 3" xfId="614" xr:uid="{00000000-0005-0000-0000-00005D020000}"/>
    <cellStyle name="YelNumbersCurr_База" xfId="615" xr:uid="{00000000-0005-0000-0000-00005E020000}"/>
    <cellStyle name="Акцент1 2" xfId="616" xr:uid="{00000000-0005-0000-0000-00005F020000}"/>
    <cellStyle name="Акцент1 2 2" xfId="617" xr:uid="{00000000-0005-0000-0000-000060020000}"/>
    <cellStyle name="Акцент1 2 3" xfId="618" xr:uid="{00000000-0005-0000-0000-000061020000}"/>
    <cellStyle name="Акцент1 2 4" xfId="619" xr:uid="{00000000-0005-0000-0000-000062020000}"/>
    <cellStyle name="Акцент1 3" xfId="620" xr:uid="{00000000-0005-0000-0000-000063020000}"/>
    <cellStyle name="Акцент1 4" xfId="621" xr:uid="{00000000-0005-0000-0000-000064020000}"/>
    <cellStyle name="Акцент1 5" xfId="622" xr:uid="{00000000-0005-0000-0000-000065020000}"/>
    <cellStyle name="Акцент1 6" xfId="623" xr:uid="{00000000-0005-0000-0000-000066020000}"/>
    <cellStyle name="Акцент2 2" xfId="624" xr:uid="{00000000-0005-0000-0000-000067020000}"/>
    <cellStyle name="Акцент2 2 2" xfId="625" xr:uid="{00000000-0005-0000-0000-000068020000}"/>
    <cellStyle name="Акцент2 2 3" xfId="626" xr:uid="{00000000-0005-0000-0000-000069020000}"/>
    <cellStyle name="Акцент2 2 4" xfId="627" xr:uid="{00000000-0005-0000-0000-00006A020000}"/>
    <cellStyle name="Акцент2 3" xfId="628" xr:uid="{00000000-0005-0000-0000-00006B020000}"/>
    <cellStyle name="Акцент2 4" xfId="629" xr:uid="{00000000-0005-0000-0000-00006C020000}"/>
    <cellStyle name="Акцент2 5" xfId="630" xr:uid="{00000000-0005-0000-0000-00006D020000}"/>
    <cellStyle name="Акцент2 6" xfId="631" xr:uid="{00000000-0005-0000-0000-00006E020000}"/>
    <cellStyle name="Акцент3 2" xfId="632" xr:uid="{00000000-0005-0000-0000-00006F020000}"/>
    <cellStyle name="Акцент3 2 2" xfId="633" xr:uid="{00000000-0005-0000-0000-000070020000}"/>
    <cellStyle name="Акцент3 2 3" xfId="634" xr:uid="{00000000-0005-0000-0000-000071020000}"/>
    <cellStyle name="Акцент3 2 4" xfId="635" xr:uid="{00000000-0005-0000-0000-000072020000}"/>
    <cellStyle name="Акцент3 3" xfId="636" xr:uid="{00000000-0005-0000-0000-000073020000}"/>
    <cellStyle name="Акцент3 4" xfId="637" xr:uid="{00000000-0005-0000-0000-000074020000}"/>
    <cellStyle name="Акцент3 5" xfId="638" xr:uid="{00000000-0005-0000-0000-000075020000}"/>
    <cellStyle name="Акцент3 6" xfId="639" xr:uid="{00000000-0005-0000-0000-000076020000}"/>
    <cellStyle name="Акцент4 2" xfId="640" xr:uid="{00000000-0005-0000-0000-000077020000}"/>
    <cellStyle name="Акцент4 2 2" xfId="641" xr:uid="{00000000-0005-0000-0000-000078020000}"/>
    <cellStyle name="Акцент4 2 3" xfId="642" xr:uid="{00000000-0005-0000-0000-000079020000}"/>
    <cellStyle name="Акцент4 2 4" xfId="643" xr:uid="{00000000-0005-0000-0000-00007A020000}"/>
    <cellStyle name="Акцент4 3" xfId="644" xr:uid="{00000000-0005-0000-0000-00007B020000}"/>
    <cellStyle name="Акцент4 4" xfId="645" xr:uid="{00000000-0005-0000-0000-00007C020000}"/>
    <cellStyle name="Акцент4 5" xfId="646" xr:uid="{00000000-0005-0000-0000-00007D020000}"/>
    <cellStyle name="Акцент4 6" xfId="647" xr:uid="{00000000-0005-0000-0000-00007E020000}"/>
    <cellStyle name="Акцент5 2" xfId="648" xr:uid="{00000000-0005-0000-0000-00007F020000}"/>
    <cellStyle name="Акцент5 2 2" xfId="649" xr:uid="{00000000-0005-0000-0000-000080020000}"/>
    <cellStyle name="Акцент5 2 3" xfId="650" xr:uid="{00000000-0005-0000-0000-000081020000}"/>
    <cellStyle name="Акцент5 2 4" xfId="651" xr:uid="{00000000-0005-0000-0000-000082020000}"/>
    <cellStyle name="Акцент5 3" xfId="652" xr:uid="{00000000-0005-0000-0000-000083020000}"/>
    <cellStyle name="Акцент5 4" xfId="653" xr:uid="{00000000-0005-0000-0000-000084020000}"/>
    <cellStyle name="Акцент5 5" xfId="654" xr:uid="{00000000-0005-0000-0000-000085020000}"/>
    <cellStyle name="Акцент5 6" xfId="655" xr:uid="{00000000-0005-0000-0000-000086020000}"/>
    <cellStyle name="Акцент6 2" xfId="656" xr:uid="{00000000-0005-0000-0000-000087020000}"/>
    <cellStyle name="Акцент6 2 2" xfId="657" xr:uid="{00000000-0005-0000-0000-000088020000}"/>
    <cellStyle name="Акцент6 2 3" xfId="658" xr:uid="{00000000-0005-0000-0000-000089020000}"/>
    <cellStyle name="Акцент6 2 4" xfId="659" xr:uid="{00000000-0005-0000-0000-00008A020000}"/>
    <cellStyle name="Акцент6 3" xfId="660" xr:uid="{00000000-0005-0000-0000-00008B020000}"/>
    <cellStyle name="Акцент6 4" xfId="661" xr:uid="{00000000-0005-0000-0000-00008C020000}"/>
    <cellStyle name="Акцент6 5" xfId="662" xr:uid="{00000000-0005-0000-0000-00008D020000}"/>
    <cellStyle name="Акцент6 6" xfId="663" xr:uid="{00000000-0005-0000-0000-00008E020000}"/>
    <cellStyle name="Ввод  2" xfId="664" xr:uid="{00000000-0005-0000-0000-00008F020000}"/>
    <cellStyle name="Ввод  2 2" xfId="665" xr:uid="{00000000-0005-0000-0000-000090020000}"/>
    <cellStyle name="Ввод  2 3" xfId="666" xr:uid="{00000000-0005-0000-0000-000091020000}"/>
    <cellStyle name="Ввод  2 4" xfId="667" xr:uid="{00000000-0005-0000-0000-000092020000}"/>
    <cellStyle name="Ввод  3" xfId="668" xr:uid="{00000000-0005-0000-0000-000093020000}"/>
    <cellStyle name="Ввод  4" xfId="669" xr:uid="{00000000-0005-0000-0000-000094020000}"/>
    <cellStyle name="Ввод  5" xfId="670" xr:uid="{00000000-0005-0000-0000-000095020000}"/>
    <cellStyle name="Ввод  6" xfId="671" xr:uid="{00000000-0005-0000-0000-000096020000}"/>
    <cellStyle name="Вывод 2" xfId="672" xr:uid="{00000000-0005-0000-0000-000097020000}"/>
    <cellStyle name="Вывод 2 2" xfId="673" xr:uid="{00000000-0005-0000-0000-000098020000}"/>
    <cellStyle name="Вывод 2 3" xfId="674" xr:uid="{00000000-0005-0000-0000-000099020000}"/>
    <cellStyle name="Вывод 2 4" xfId="675" xr:uid="{00000000-0005-0000-0000-00009A020000}"/>
    <cellStyle name="Вывод 3" xfId="676" xr:uid="{00000000-0005-0000-0000-00009B020000}"/>
    <cellStyle name="Вывод 4" xfId="677" xr:uid="{00000000-0005-0000-0000-00009C020000}"/>
    <cellStyle name="Вывод 5" xfId="678" xr:uid="{00000000-0005-0000-0000-00009D020000}"/>
    <cellStyle name="Вывод 6" xfId="679" xr:uid="{00000000-0005-0000-0000-00009E020000}"/>
    <cellStyle name="Вычисление 2" xfId="680" xr:uid="{00000000-0005-0000-0000-00009F020000}"/>
    <cellStyle name="Вычисление 2 2" xfId="681" xr:uid="{00000000-0005-0000-0000-0000A0020000}"/>
    <cellStyle name="Вычисление 2 3" xfId="682" xr:uid="{00000000-0005-0000-0000-0000A1020000}"/>
    <cellStyle name="Вычисление 2 4" xfId="683" xr:uid="{00000000-0005-0000-0000-0000A2020000}"/>
    <cellStyle name="Вычисление 3" xfId="684" xr:uid="{00000000-0005-0000-0000-0000A3020000}"/>
    <cellStyle name="Вычисление 4" xfId="685" xr:uid="{00000000-0005-0000-0000-0000A4020000}"/>
    <cellStyle name="Вычисление 5" xfId="686" xr:uid="{00000000-0005-0000-0000-0000A5020000}"/>
    <cellStyle name="Вычисление 6" xfId="687" xr:uid="{00000000-0005-0000-0000-0000A6020000}"/>
    <cellStyle name="Денежный 2" xfId="688" xr:uid="{00000000-0005-0000-0000-0000A7020000}"/>
    <cellStyle name="Денежный 2 2" xfId="689" xr:uid="{00000000-0005-0000-0000-0000A8020000}"/>
    <cellStyle name="ефиду" xfId="690" xr:uid="{00000000-0005-0000-0000-0000A9020000}"/>
    <cellStyle name="Заголовок 1 2" xfId="691" xr:uid="{00000000-0005-0000-0000-0000AA020000}"/>
    <cellStyle name="Заголовок 1 2 2" xfId="692" xr:uid="{00000000-0005-0000-0000-0000AB020000}"/>
    <cellStyle name="Заголовок 1 2 3" xfId="693" xr:uid="{00000000-0005-0000-0000-0000AC020000}"/>
    <cellStyle name="Заголовок 1 2 4" xfId="694" xr:uid="{00000000-0005-0000-0000-0000AD020000}"/>
    <cellStyle name="Заголовок 1 3" xfId="695" xr:uid="{00000000-0005-0000-0000-0000AE020000}"/>
    <cellStyle name="Заголовок 1 4" xfId="696" xr:uid="{00000000-0005-0000-0000-0000AF020000}"/>
    <cellStyle name="Заголовок 1 5" xfId="697" xr:uid="{00000000-0005-0000-0000-0000B0020000}"/>
    <cellStyle name="Заголовок 1 6" xfId="698" xr:uid="{00000000-0005-0000-0000-0000B1020000}"/>
    <cellStyle name="Заголовок 2 2" xfId="699" xr:uid="{00000000-0005-0000-0000-0000B2020000}"/>
    <cellStyle name="Заголовок 2 2 2" xfId="700" xr:uid="{00000000-0005-0000-0000-0000B3020000}"/>
    <cellStyle name="Заголовок 2 2 3" xfId="701" xr:uid="{00000000-0005-0000-0000-0000B4020000}"/>
    <cellStyle name="Заголовок 2 2 4" xfId="702" xr:uid="{00000000-0005-0000-0000-0000B5020000}"/>
    <cellStyle name="Заголовок 2 3" xfId="703" xr:uid="{00000000-0005-0000-0000-0000B6020000}"/>
    <cellStyle name="Заголовок 2 4" xfId="704" xr:uid="{00000000-0005-0000-0000-0000B7020000}"/>
    <cellStyle name="Заголовок 2 5" xfId="705" xr:uid="{00000000-0005-0000-0000-0000B8020000}"/>
    <cellStyle name="Заголовок 2 6" xfId="706" xr:uid="{00000000-0005-0000-0000-0000B9020000}"/>
    <cellStyle name="Заголовок 3 2" xfId="707" xr:uid="{00000000-0005-0000-0000-0000BA020000}"/>
    <cellStyle name="Заголовок 3 2 2" xfId="708" xr:uid="{00000000-0005-0000-0000-0000BB020000}"/>
    <cellStyle name="Заголовок 3 2 3" xfId="709" xr:uid="{00000000-0005-0000-0000-0000BC020000}"/>
    <cellStyle name="Заголовок 3 2 4" xfId="710" xr:uid="{00000000-0005-0000-0000-0000BD020000}"/>
    <cellStyle name="Заголовок 3 3" xfId="711" xr:uid="{00000000-0005-0000-0000-0000BE020000}"/>
    <cellStyle name="Заголовок 3 4" xfId="712" xr:uid="{00000000-0005-0000-0000-0000BF020000}"/>
    <cellStyle name="Заголовок 3 5" xfId="713" xr:uid="{00000000-0005-0000-0000-0000C0020000}"/>
    <cellStyle name="Заголовок 3 6" xfId="714" xr:uid="{00000000-0005-0000-0000-0000C1020000}"/>
    <cellStyle name="Заголовок 4 2" xfId="715" xr:uid="{00000000-0005-0000-0000-0000C2020000}"/>
    <cellStyle name="Заголовок 4 2 2" xfId="716" xr:uid="{00000000-0005-0000-0000-0000C3020000}"/>
    <cellStyle name="Заголовок 4 2 3" xfId="717" xr:uid="{00000000-0005-0000-0000-0000C4020000}"/>
    <cellStyle name="Заголовок 4 2 4" xfId="718" xr:uid="{00000000-0005-0000-0000-0000C5020000}"/>
    <cellStyle name="Заголовок 4 3" xfId="719" xr:uid="{00000000-0005-0000-0000-0000C6020000}"/>
    <cellStyle name="Заголовок 4 4" xfId="720" xr:uid="{00000000-0005-0000-0000-0000C7020000}"/>
    <cellStyle name="Заголовок 4 5" xfId="721" xr:uid="{00000000-0005-0000-0000-0000C8020000}"/>
    <cellStyle name="Заголовок 4 6" xfId="722" xr:uid="{00000000-0005-0000-0000-0000C9020000}"/>
    <cellStyle name="зфпуруфвштп" xfId="723" xr:uid="{00000000-0005-0000-0000-0000CA020000}"/>
    <cellStyle name="Итог 2" xfId="724" xr:uid="{00000000-0005-0000-0000-0000CB020000}"/>
    <cellStyle name="Итог 2 2" xfId="725" xr:uid="{00000000-0005-0000-0000-0000CC020000}"/>
    <cellStyle name="Итог 2 3" xfId="726" xr:uid="{00000000-0005-0000-0000-0000CD020000}"/>
    <cellStyle name="Итог 2 4" xfId="727" xr:uid="{00000000-0005-0000-0000-0000CE020000}"/>
    <cellStyle name="Итог 3" xfId="728" xr:uid="{00000000-0005-0000-0000-0000CF020000}"/>
    <cellStyle name="Итог 4" xfId="729" xr:uid="{00000000-0005-0000-0000-0000D0020000}"/>
    <cellStyle name="Итог 5" xfId="730" xr:uid="{00000000-0005-0000-0000-0000D1020000}"/>
    <cellStyle name="Итог 6" xfId="731" xr:uid="{00000000-0005-0000-0000-0000D2020000}"/>
    <cellStyle name="йешеду" xfId="732" xr:uid="{00000000-0005-0000-0000-0000D3020000}"/>
    <cellStyle name="Контрольная ячейка 2" xfId="733" xr:uid="{00000000-0005-0000-0000-0000D4020000}"/>
    <cellStyle name="Контрольная ячейка 2 2" xfId="734" xr:uid="{00000000-0005-0000-0000-0000D5020000}"/>
    <cellStyle name="Контрольная ячейка 2 3" xfId="735" xr:uid="{00000000-0005-0000-0000-0000D6020000}"/>
    <cellStyle name="Контрольная ячейка 2 4" xfId="736" xr:uid="{00000000-0005-0000-0000-0000D7020000}"/>
    <cellStyle name="Контрольная ячейка 3" xfId="737" xr:uid="{00000000-0005-0000-0000-0000D8020000}"/>
    <cellStyle name="Контрольная ячейка 4" xfId="738" xr:uid="{00000000-0005-0000-0000-0000D9020000}"/>
    <cellStyle name="Контрольная ячейка 5" xfId="739" xr:uid="{00000000-0005-0000-0000-0000DA020000}"/>
    <cellStyle name="Контрольная ячейка 6" xfId="740" xr:uid="{00000000-0005-0000-0000-0000DB020000}"/>
    <cellStyle name="Личный" xfId="741" xr:uid="{00000000-0005-0000-0000-0000DC020000}"/>
    <cellStyle name="Название 2" xfId="742" xr:uid="{00000000-0005-0000-0000-0000DD020000}"/>
    <cellStyle name="Название 2 2" xfId="743" xr:uid="{00000000-0005-0000-0000-0000DE020000}"/>
    <cellStyle name="Название 2 3" xfId="744" xr:uid="{00000000-0005-0000-0000-0000DF020000}"/>
    <cellStyle name="Название 2 4" xfId="745" xr:uid="{00000000-0005-0000-0000-0000E0020000}"/>
    <cellStyle name="Название 3" xfId="746" xr:uid="{00000000-0005-0000-0000-0000E1020000}"/>
    <cellStyle name="Название 4" xfId="747" xr:uid="{00000000-0005-0000-0000-0000E2020000}"/>
    <cellStyle name="Название 5" xfId="748" xr:uid="{00000000-0005-0000-0000-0000E3020000}"/>
    <cellStyle name="Название 6" xfId="749" xr:uid="{00000000-0005-0000-0000-0000E4020000}"/>
    <cellStyle name="Нейтральный 2" xfId="750" xr:uid="{00000000-0005-0000-0000-0000E5020000}"/>
    <cellStyle name="Нейтральный 2 2" xfId="751" xr:uid="{00000000-0005-0000-0000-0000E6020000}"/>
    <cellStyle name="Нейтральный 2 3" xfId="752" xr:uid="{00000000-0005-0000-0000-0000E7020000}"/>
    <cellStyle name="Нейтральный 2 4" xfId="753" xr:uid="{00000000-0005-0000-0000-0000E8020000}"/>
    <cellStyle name="Нейтральный 3" xfId="754" xr:uid="{00000000-0005-0000-0000-0000E9020000}"/>
    <cellStyle name="Нейтральный 4" xfId="755" xr:uid="{00000000-0005-0000-0000-0000EA020000}"/>
    <cellStyle name="Нейтральный 5" xfId="756" xr:uid="{00000000-0005-0000-0000-0000EB020000}"/>
    <cellStyle name="Нейтральный 6" xfId="757" xr:uid="{00000000-0005-0000-0000-0000EC020000}"/>
    <cellStyle name="Ненежный [0]" xfId="758" xr:uid="{00000000-0005-0000-0000-0000ED020000}"/>
    <cellStyle name="Обычный" xfId="0" builtinId="0"/>
    <cellStyle name="Обычный 10" xfId="5" xr:uid="{00000000-0005-0000-0000-0000EF020000}"/>
    <cellStyle name="Обычный 11" xfId="3230" xr:uid="{00000000-0005-0000-0000-0000F0020000}"/>
    <cellStyle name="Обычный 2" xfId="2" xr:uid="{00000000-0005-0000-0000-0000F1020000}"/>
    <cellStyle name="Обычный 2 2" xfId="8" xr:uid="{00000000-0005-0000-0000-0000F2020000}"/>
    <cellStyle name="Обычный 2 2 2" xfId="9" xr:uid="{00000000-0005-0000-0000-0000F3020000}"/>
    <cellStyle name="Обычный 2 2 2 2" xfId="759" xr:uid="{00000000-0005-0000-0000-0000F4020000}"/>
    <cellStyle name="Обычный 2 2 3" xfId="760" xr:uid="{00000000-0005-0000-0000-0000F5020000}"/>
    <cellStyle name="Обычный 2 2 4" xfId="761" xr:uid="{00000000-0005-0000-0000-0000F6020000}"/>
    <cellStyle name="Обычный 2 3" xfId="762" xr:uid="{00000000-0005-0000-0000-0000F7020000}"/>
    <cellStyle name="Обычный 2 3 2" xfId="763" xr:uid="{00000000-0005-0000-0000-0000F8020000}"/>
    <cellStyle name="Обычный 2 4" xfId="4" xr:uid="{00000000-0005-0000-0000-0000F9020000}"/>
    <cellStyle name="Обычный 2 5" xfId="764" xr:uid="{00000000-0005-0000-0000-0000FA020000}"/>
    <cellStyle name="Обычный 2 9" xfId="765" xr:uid="{00000000-0005-0000-0000-0000FB020000}"/>
    <cellStyle name="Обычный 3" xfId="6" xr:uid="{00000000-0005-0000-0000-0000FC020000}"/>
    <cellStyle name="Обычный 3 2" xfId="766" xr:uid="{00000000-0005-0000-0000-0000FD020000}"/>
    <cellStyle name="Обычный 3 2 2" xfId="767" xr:uid="{00000000-0005-0000-0000-0000FE020000}"/>
    <cellStyle name="Обычный 3 2 2 2" xfId="768" xr:uid="{00000000-0005-0000-0000-0000FF020000}"/>
    <cellStyle name="Обычный 3 2 3" xfId="769" xr:uid="{00000000-0005-0000-0000-000000030000}"/>
    <cellStyle name="Обычный 3 2 4" xfId="770" xr:uid="{00000000-0005-0000-0000-000001030000}"/>
    <cellStyle name="Обычный 3 3" xfId="771" xr:uid="{00000000-0005-0000-0000-000002030000}"/>
    <cellStyle name="Обычный 3 3 2" xfId="772" xr:uid="{00000000-0005-0000-0000-000003030000}"/>
    <cellStyle name="Обычный 3 4" xfId="773" xr:uid="{00000000-0005-0000-0000-000004030000}"/>
    <cellStyle name="Обычный 3 5" xfId="774" xr:uid="{00000000-0005-0000-0000-000005030000}"/>
    <cellStyle name="Обычный 3 5 2" xfId="775" xr:uid="{00000000-0005-0000-0000-000006030000}"/>
    <cellStyle name="Обычный 3 6" xfId="776" xr:uid="{00000000-0005-0000-0000-000007030000}"/>
    <cellStyle name="Обычный 3 7" xfId="3223" xr:uid="{00000000-0005-0000-0000-000008030000}"/>
    <cellStyle name="Обычный 4" xfId="1" xr:uid="{00000000-0005-0000-0000-000009030000}"/>
    <cellStyle name="Обычный 4 2" xfId="777" xr:uid="{00000000-0005-0000-0000-00000A030000}"/>
    <cellStyle name="Обычный 5" xfId="10" xr:uid="{00000000-0005-0000-0000-00000B030000}"/>
    <cellStyle name="Обычный 5 2" xfId="778" xr:uid="{00000000-0005-0000-0000-00000C030000}"/>
    <cellStyle name="Обычный 5 3" xfId="779" xr:uid="{00000000-0005-0000-0000-00000D030000}"/>
    <cellStyle name="Обычный 5 4" xfId="780" xr:uid="{00000000-0005-0000-0000-00000E030000}"/>
    <cellStyle name="Обычный 6" xfId="781" xr:uid="{00000000-0005-0000-0000-00000F030000}"/>
    <cellStyle name="Обычный 7" xfId="782" xr:uid="{00000000-0005-0000-0000-000010030000}"/>
    <cellStyle name="Обычный 7 2" xfId="783" xr:uid="{00000000-0005-0000-0000-000011030000}"/>
    <cellStyle name="Обычный 8" xfId="7" xr:uid="{00000000-0005-0000-0000-000012030000}"/>
    <cellStyle name="Обычный 8 2" xfId="784" xr:uid="{00000000-0005-0000-0000-000013030000}"/>
    <cellStyle name="Обычный 9" xfId="785" xr:uid="{00000000-0005-0000-0000-000014030000}"/>
    <cellStyle name="ПИР" xfId="3228" xr:uid="{00000000-0005-0000-0000-000015030000}"/>
    <cellStyle name="Плохой 2" xfId="786" xr:uid="{00000000-0005-0000-0000-000016030000}"/>
    <cellStyle name="Плохой 2 2" xfId="787" xr:uid="{00000000-0005-0000-0000-000017030000}"/>
    <cellStyle name="Плохой 2 3" xfId="788" xr:uid="{00000000-0005-0000-0000-000018030000}"/>
    <cellStyle name="Плохой 2 4" xfId="789" xr:uid="{00000000-0005-0000-0000-000019030000}"/>
    <cellStyle name="Плохой 3" xfId="790" xr:uid="{00000000-0005-0000-0000-00001A030000}"/>
    <cellStyle name="Плохой 4" xfId="791" xr:uid="{00000000-0005-0000-0000-00001B030000}"/>
    <cellStyle name="Плохой 5" xfId="792" xr:uid="{00000000-0005-0000-0000-00001C030000}"/>
    <cellStyle name="Плохой 6" xfId="793" xr:uid="{00000000-0005-0000-0000-00001D030000}"/>
    <cellStyle name="Пояснение 2" xfId="794" xr:uid="{00000000-0005-0000-0000-00001E030000}"/>
    <cellStyle name="Пояснение 2 2" xfId="795" xr:uid="{00000000-0005-0000-0000-00001F030000}"/>
    <cellStyle name="Пояснение 2 3" xfId="796" xr:uid="{00000000-0005-0000-0000-000020030000}"/>
    <cellStyle name="Пояснение 2 4" xfId="797" xr:uid="{00000000-0005-0000-0000-000021030000}"/>
    <cellStyle name="Пояснение 3" xfId="798" xr:uid="{00000000-0005-0000-0000-000022030000}"/>
    <cellStyle name="Пояснение 4" xfId="799" xr:uid="{00000000-0005-0000-0000-000023030000}"/>
    <cellStyle name="Пояснение 5" xfId="800" xr:uid="{00000000-0005-0000-0000-000024030000}"/>
    <cellStyle name="Пояснение 6" xfId="801" xr:uid="{00000000-0005-0000-0000-000025030000}"/>
    <cellStyle name="Примечание 10" xfId="802" xr:uid="{00000000-0005-0000-0000-000026030000}"/>
    <cellStyle name="Примечание 10 2" xfId="803" xr:uid="{00000000-0005-0000-0000-000027030000}"/>
    <cellStyle name="Примечание 10 2 2" xfId="804" xr:uid="{00000000-0005-0000-0000-000028030000}"/>
    <cellStyle name="Примечание 10 2 3" xfId="805" xr:uid="{00000000-0005-0000-0000-000029030000}"/>
    <cellStyle name="Примечание 10 3" xfId="806" xr:uid="{00000000-0005-0000-0000-00002A030000}"/>
    <cellStyle name="Примечание 10 3 2" xfId="807" xr:uid="{00000000-0005-0000-0000-00002B030000}"/>
    <cellStyle name="Примечание 10 3 3" xfId="808" xr:uid="{00000000-0005-0000-0000-00002C030000}"/>
    <cellStyle name="Примечание 10 4" xfId="809" xr:uid="{00000000-0005-0000-0000-00002D030000}"/>
    <cellStyle name="Примечание 10 4 2" xfId="810" xr:uid="{00000000-0005-0000-0000-00002E030000}"/>
    <cellStyle name="Примечание 10 4 3" xfId="811" xr:uid="{00000000-0005-0000-0000-00002F030000}"/>
    <cellStyle name="Примечание 10 5" xfId="812" xr:uid="{00000000-0005-0000-0000-000030030000}"/>
    <cellStyle name="Примечание 10 6" xfId="813" xr:uid="{00000000-0005-0000-0000-000031030000}"/>
    <cellStyle name="Примечание 11" xfId="814" xr:uid="{00000000-0005-0000-0000-000032030000}"/>
    <cellStyle name="Примечание 11 2" xfId="815" xr:uid="{00000000-0005-0000-0000-000033030000}"/>
    <cellStyle name="Примечание 11 2 2" xfId="816" xr:uid="{00000000-0005-0000-0000-000034030000}"/>
    <cellStyle name="Примечание 11 2 3" xfId="817" xr:uid="{00000000-0005-0000-0000-000035030000}"/>
    <cellStyle name="Примечание 11 3" xfId="818" xr:uid="{00000000-0005-0000-0000-000036030000}"/>
    <cellStyle name="Примечание 11 3 2" xfId="819" xr:uid="{00000000-0005-0000-0000-000037030000}"/>
    <cellStyle name="Примечание 11 3 3" xfId="820" xr:uid="{00000000-0005-0000-0000-000038030000}"/>
    <cellStyle name="Примечание 11 4" xfId="821" xr:uid="{00000000-0005-0000-0000-000039030000}"/>
    <cellStyle name="Примечание 11 4 2" xfId="822" xr:uid="{00000000-0005-0000-0000-00003A030000}"/>
    <cellStyle name="Примечание 11 4 3" xfId="823" xr:uid="{00000000-0005-0000-0000-00003B030000}"/>
    <cellStyle name="Примечание 11 5" xfId="824" xr:uid="{00000000-0005-0000-0000-00003C030000}"/>
    <cellStyle name="Примечание 11 6" xfId="825" xr:uid="{00000000-0005-0000-0000-00003D030000}"/>
    <cellStyle name="Примечание 12" xfId="826" xr:uid="{00000000-0005-0000-0000-00003E030000}"/>
    <cellStyle name="Примечание 12 2" xfId="827" xr:uid="{00000000-0005-0000-0000-00003F030000}"/>
    <cellStyle name="Примечание 12 2 2" xfId="828" xr:uid="{00000000-0005-0000-0000-000040030000}"/>
    <cellStyle name="Примечание 12 2 2 2" xfId="829" xr:uid="{00000000-0005-0000-0000-000041030000}"/>
    <cellStyle name="Примечание 12 2 2 3" xfId="830" xr:uid="{00000000-0005-0000-0000-000042030000}"/>
    <cellStyle name="Примечание 12 2 3" xfId="831" xr:uid="{00000000-0005-0000-0000-000043030000}"/>
    <cellStyle name="Примечание 12 2 4" xfId="832" xr:uid="{00000000-0005-0000-0000-000044030000}"/>
    <cellStyle name="Примечание 12 3" xfId="833" xr:uid="{00000000-0005-0000-0000-000045030000}"/>
    <cellStyle name="Примечание 12 3 2" xfId="834" xr:uid="{00000000-0005-0000-0000-000046030000}"/>
    <cellStyle name="Примечание 12 3 3" xfId="835" xr:uid="{00000000-0005-0000-0000-000047030000}"/>
    <cellStyle name="Примечание 12 4" xfId="836" xr:uid="{00000000-0005-0000-0000-000048030000}"/>
    <cellStyle name="Примечание 12 5" xfId="837" xr:uid="{00000000-0005-0000-0000-000049030000}"/>
    <cellStyle name="Примечание 13" xfId="838" xr:uid="{00000000-0005-0000-0000-00004A030000}"/>
    <cellStyle name="Примечание 13 2" xfId="839" xr:uid="{00000000-0005-0000-0000-00004B030000}"/>
    <cellStyle name="Примечание 13 2 2" xfId="840" xr:uid="{00000000-0005-0000-0000-00004C030000}"/>
    <cellStyle name="Примечание 13 2 3" xfId="841" xr:uid="{00000000-0005-0000-0000-00004D030000}"/>
    <cellStyle name="Примечание 13 3" xfId="842" xr:uid="{00000000-0005-0000-0000-00004E030000}"/>
    <cellStyle name="Примечание 13 4" xfId="843" xr:uid="{00000000-0005-0000-0000-00004F030000}"/>
    <cellStyle name="Примечание 14" xfId="844" xr:uid="{00000000-0005-0000-0000-000050030000}"/>
    <cellStyle name="Примечание 15" xfId="845" xr:uid="{00000000-0005-0000-0000-000051030000}"/>
    <cellStyle name="Примечание 2" xfId="846" xr:uid="{00000000-0005-0000-0000-000052030000}"/>
    <cellStyle name="Примечание 2 10" xfId="847" xr:uid="{00000000-0005-0000-0000-000053030000}"/>
    <cellStyle name="Примечание 2 10 10" xfId="848" xr:uid="{00000000-0005-0000-0000-000054030000}"/>
    <cellStyle name="Примечание 2 10 10 2" xfId="849" xr:uid="{00000000-0005-0000-0000-000055030000}"/>
    <cellStyle name="Примечание 2 10 10 3" xfId="850" xr:uid="{00000000-0005-0000-0000-000056030000}"/>
    <cellStyle name="Примечание 2 10 11" xfId="851" xr:uid="{00000000-0005-0000-0000-000057030000}"/>
    <cellStyle name="Примечание 2 10 12" xfId="852" xr:uid="{00000000-0005-0000-0000-000058030000}"/>
    <cellStyle name="Примечание 2 10 2" xfId="853" xr:uid="{00000000-0005-0000-0000-000059030000}"/>
    <cellStyle name="Примечание 2 10 2 2" xfId="854" xr:uid="{00000000-0005-0000-0000-00005A030000}"/>
    <cellStyle name="Примечание 2 10 2 2 2" xfId="855" xr:uid="{00000000-0005-0000-0000-00005B030000}"/>
    <cellStyle name="Примечание 2 10 2 2 2 2" xfId="856" xr:uid="{00000000-0005-0000-0000-00005C030000}"/>
    <cellStyle name="Примечание 2 10 2 2 2 3" xfId="857" xr:uid="{00000000-0005-0000-0000-00005D030000}"/>
    <cellStyle name="Примечание 2 10 2 2 3" xfId="858" xr:uid="{00000000-0005-0000-0000-00005E030000}"/>
    <cellStyle name="Примечание 2 10 2 2 3 2" xfId="859" xr:uid="{00000000-0005-0000-0000-00005F030000}"/>
    <cellStyle name="Примечание 2 10 2 2 3 3" xfId="860" xr:uid="{00000000-0005-0000-0000-000060030000}"/>
    <cellStyle name="Примечание 2 10 2 2 4" xfId="861" xr:uid="{00000000-0005-0000-0000-000061030000}"/>
    <cellStyle name="Примечание 2 10 2 2 4 2" xfId="862" xr:uid="{00000000-0005-0000-0000-000062030000}"/>
    <cellStyle name="Примечание 2 10 2 2 4 3" xfId="863" xr:uid="{00000000-0005-0000-0000-000063030000}"/>
    <cellStyle name="Примечание 2 10 2 2 5" xfId="864" xr:uid="{00000000-0005-0000-0000-000064030000}"/>
    <cellStyle name="Примечание 2 10 2 2 6" xfId="865" xr:uid="{00000000-0005-0000-0000-000065030000}"/>
    <cellStyle name="Примечание 2 10 2 3" xfId="866" xr:uid="{00000000-0005-0000-0000-000066030000}"/>
    <cellStyle name="Примечание 2 10 2 3 2" xfId="867" xr:uid="{00000000-0005-0000-0000-000067030000}"/>
    <cellStyle name="Примечание 2 10 2 3 2 2" xfId="868" xr:uid="{00000000-0005-0000-0000-000068030000}"/>
    <cellStyle name="Примечание 2 10 2 3 2 3" xfId="869" xr:uid="{00000000-0005-0000-0000-000069030000}"/>
    <cellStyle name="Примечание 2 10 2 3 3" xfId="870" xr:uid="{00000000-0005-0000-0000-00006A030000}"/>
    <cellStyle name="Примечание 2 10 2 3 3 2" xfId="871" xr:uid="{00000000-0005-0000-0000-00006B030000}"/>
    <cellStyle name="Примечание 2 10 2 3 3 3" xfId="872" xr:uid="{00000000-0005-0000-0000-00006C030000}"/>
    <cellStyle name="Примечание 2 10 2 3 4" xfId="873" xr:uid="{00000000-0005-0000-0000-00006D030000}"/>
    <cellStyle name="Примечание 2 10 2 3 4 2" xfId="874" xr:uid="{00000000-0005-0000-0000-00006E030000}"/>
    <cellStyle name="Примечание 2 10 2 3 4 3" xfId="875" xr:uid="{00000000-0005-0000-0000-00006F030000}"/>
    <cellStyle name="Примечание 2 10 2 3 5" xfId="876" xr:uid="{00000000-0005-0000-0000-000070030000}"/>
    <cellStyle name="Примечание 2 10 2 3 6" xfId="877" xr:uid="{00000000-0005-0000-0000-000071030000}"/>
    <cellStyle name="Примечание 2 10 2 4" xfId="878" xr:uid="{00000000-0005-0000-0000-000072030000}"/>
    <cellStyle name="Примечание 2 10 2 4 2" xfId="879" xr:uid="{00000000-0005-0000-0000-000073030000}"/>
    <cellStyle name="Примечание 2 10 2 4 2 2" xfId="880" xr:uid="{00000000-0005-0000-0000-000074030000}"/>
    <cellStyle name="Примечание 2 10 2 4 2 3" xfId="881" xr:uid="{00000000-0005-0000-0000-000075030000}"/>
    <cellStyle name="Примечание 2 10 2 4 3" xfId="882" xr:uid="{00000000-0005-0000-0000-000076030000}"/>
    <cellStyle name="Примечание 2 10 2 4 3 2" xfId="883" xr:uid="{00000000-0005-0000-0000-000077030000}"/>
    <cellStyle name="Примечание 2 10 2 4 3 3" xfId="884" xr:uid="{00000000-0005-0000-0000-000078030000}"/>
    <cellStyle name="Примечание 2 10 2 4 4" xfId="885" xr:uid="{00000000-0005-0000-0000-000079030000}"/>
    <cellStyle name="Примечание 2 10 2 4 4 2" xfId="886" xr:uid="{00000000-0005-0000-0000-00007A030000}"/>
    <cellStyle name="Примечание 2 10 2 4 4 3" xfId="887" xr:uid="{00000000-0005-0000-0000-00007B030000}"/>
    <cellStyle name="Примечание 2 10 2 4 5" xfId="888" xr:uid="{00000000-0005-0000-0000-00007C030000}"/>
    <cellStyle name="Примечание 2 10 2 4 6" xfId="889" xr:uid="{00000000-0005-0000-0000-00007D030000}"/>
    <cellStyle name="Примечание 2 10 2 5" xfId="890" xr:uid="{00000000-0005-0000-0000-00007E030000}"/>
    <cellStyle name="Примечание 2 10 2 5 2" xfId="891" xr:uid="{00000000-0005-0000-0000-00007F030000}"/>
    <cellStyle name="Примечание 2 10 2 5 3" xfId="892" xr:uid="{00000000-0005-0000-0000-000080030000}"/>
    <cellStyle name="Примечание 2 10 2 6" xfId="893" xr:uid="{00000000-0005-0000-0000-000081030000}"/>
    <cellStyle name="Примечание 2 10 2 6 2" xfId="894" xr:uid="{00000000-0005-0000-0000-000082030000}"/>
    <cellStyle name="Примечание 2 10 2 6 3" xfId="895" xr:uid="{00000000-0005-0000-0000-000083030000}"/>
    <cellStyle name="Примечание 2 10 2 7" xfId="896" xr:uid="{00000000-0005-0000-0000-000084030000}"/>
    <cellStyle name="Примечание 2 10 2 7 2" xfId="897" xr:uid="{00000000-0005-0000-0000-000085030000}"/>
    <cellStyle name="Примечание 2 10 2 7 3" xfId="898" xr:uid="{00000000-0005-0000-0000-000086030000}"/>
    <cellStyle name="Примечание 2 10 2 8" xfId="899" xr:uid="{00000000-0005-0000-0000-000087030000}"/>
    <cellStyle name="Примечание 2 10 2 9" xfId="900" xr:uid="{00000000-0005-0000-0000-000088030000}"/>
    <cellStyle name="Примечание 2 10 3" xfId="901" xr:uid="{00000000-0005-0000-0000-000089030000}"/>
    <cellStyle name="Примечание 2 10 3 2" xfId="902" xr:uid="{00000000-0005-0000-0000-00008A030000}"/>
    <cellStyle name="Примечание 2 10 3 2 2" xfId="903" xr:uid="{00000000-0005-0000-0000-00008B030000}"/>
    <cellStyle name="Примечание 2 10 3 2 2 2" xfId="904" xr:uid="{00000000-0005-0000-0000-00008C030000}"/>
    <cellStyle name="Примечание 2 10 3 2 2 3" xfId="905" xr:uid="{00000000-0005-0000-0000-00008D030000}"/>
    <cellStyle name="Примечание 2 10 3 2 3" xfId="906" xr:uid="{00000000-0005-0000-0000-00008E030000}"/>
    <cellStyle name="Примечание 2 10 3 2 3 2" xfId="907" xr:uid="{00000000-0005-0000-0000-00008F030000}"/>
    <cellStyle name="Примечание 2 10 3 2 3 3" xfId="908" xr:uid="{00000000-0005-0000-0000-000090030000}"/>
    <cellStyle name="Примечание 2 10 3 2 4" xfId="909" xr:uid="{00000000-0005-0000-0000-000091030000}"/>
    <cellStyle name="Примечание 2 10 3 2 4 2" xfId="910" xr:uid="{00000000-0005-0000-0000-000092030000}"/>
    <cellStyle name="Примечание 2 10 3 2 4 3" xfId="911" xr:uid="{00000000-0005-0000-0000-000093030000}"/>
    <cellStyle name="Примечание 2 10 3 2 5" xfId="912" xr:uid="{00000000-0005-0000-0000-000094030000}"/>
    <cellStyle name="Примечание 2 10 3 2 6" xfId="913" xr:uid="{00000000-0005-0000-0000-000095030000}"/>
    <cellStyle name="Примечание 2 10 3 3" xfId="914" xr:uid="{00000000-0005-0000-0000-000096030000}"/>
    <cellStyle name="Примечание 2 10 3 3 2" xfId="915" xr:uid="{00000000-0005-0000-0000-000097030000}"/>
    <cellStyle name="Примечание 2 10 3 3 2 2" xfId="916" xr:uid="{00000000-0005-0000-0000-000098030000}"/>
    <cellStyle name="Примечание 2 10 3 3 2 3" xfId="917" xr:uid="{00000000-0005-0000-0000-000099030000}"/>
    <cellStyle name="Примечание 2 10 3 3 3" xfId="918" xr:uid="{00000000-0005-0000-0000-00009A030000}"/>
    <cellStyle name="Примечание 2 10 3 3 3 2" xfId="919" xr:uid="{00000000-0005-0000-0000-00009B030000}"/>
    <cellStyle name="Примечание 2 10 3 3 3 3" xfId="920" xr:uid="{00000000-0005-0000-0000-00009C030000}"/>
    <cellStyle name="Примечание 2 10 3 3 4" xfId="921" xr:uid="{00000000-0005-0000-0000-00009D030000}"/>
    <cellStyle name="Примечание 2 10 3 3 4 2" xfId="922" xr:uid="{00000000-0005-0000-0000-00009E030000}"/>
    <cellStyle name="Примечание 2 10 3 3 4 3" xfId="923" xr:uid="{00000000-0005-0000-0000-00009F030000}"/>
    <cellStyle name="Примечание 2 10 3 3 5" xfId="924" xr:uid="{00000000-0005-0000-0000-0000A0030000}"/>
    <cellStyle name="Примечание 2 10 3 3 6" xfId="925" xr:uid="{00000000-0005-0000-0000-0000A1030000}"/>
    <cellStyle name="Примечание 2 10 3 4" xfId="926" xr:uid="{00000000-0005-0000-0000-0000A2030000}"/>
    <cellStyle name="Примечание 2 10 3 4 2" xfId="927" xr:uid="{00000000-0005-0000-0000-0000A3030000}"/>
    <cellStyle name="Примечание 2 10 3 4 2 2" xfId="928" xr:uid="{00000000-0005-0000-0000-0000A4030000}"/>
    <cellStyle name="Примечание 2 10 3 4 2 3" xfId="929" xr:uid="{00000000-0005-0000-0000-0000A5030000}"/>
    <cellStyle name="Примечание 2 10 3 4 3" xfId="930" xr:uid="{00000000-0005-0000-0000-0000A6030000}"/>
    <cellStyle name="Примечание 2 10 3 4 3 2" xfId="931" xr:uid="{00000000-0005-0000-0000-0000A7030000}"/>
    <cellStyle name="Примечание 2 10 3 4 3 3" xfId="932" xr:uid="{00000000-0005-0000-0000-0000A8030000}"/>
    <cellStyle name="Примечание 2 10 3 4 4" xfId="933" xr:uid="{00000000-0005-0000-0000-0000A9030000}"/>
    <cellStyle name="Примечание 2 10 3 4 4 2" xfId="934" xr:uid="{00000000-0005-0000-0000-0000AA030000}"/>
    <cellStyle name="Примечание 2 10 3 4 4 3" xfId="935" xr:uid="{00000000-0005-0000-0000-0000AB030000}"/>
    <cellStyle name="Примечание 2 10 3 4 5" xfId="936" xr:uid="{00000000-0005-0000-0000-0000AC030000}"/>
    <cellStyle name="Примечание 2 10 3 4 6" xfId="937" xr:uid="{00000000-0005-0000-0000-0000AD030000}"/>
    <cellStyle name="Примечание 2 10 3 5" xfId="938" xr:uid="{00000000-0005-0000-0000-0000AE030000}"/>
    <cellStyle name="Примечание 2 10 3 5 2" xfId="939" xr:uid="{00000000-0005-0000-0000-0000AF030000}"/>
    <cellStyle name="Примечание 2 10 3 5 3" xfId="940" xr:uid="{00000000-0005-0000-0000-0000B0030000}"/>
    <cellStyle name="Примечание 2 10 3 6" xfId="941" xr:uid="{00000000-0005-0000-0000-0000B1030000}"/>
    <cellStyle name="Примечание 2 10 3 6 2" xfId="942" xr:uid="{00000000-0005-0000-0000-0000B2030000}"/>
    <cellStyle name="Примечание 2 10 3 6 3" xfId="943" xr:uid="{00000000-0005-0000-0000-0000B3030000}"/>
    <cellStyle name="Примечание 2 10 3 7" xfId="944" xr:uid="{00000000-0005-0000-0000-0000B4030000}"/>
    <cellStyle name="Примечание 2 10 3 7 2" xfId="945" xr:uid="{00000000-0005-0000-0000-0000B5030000}"/>
    <cellStyle name="Примечание 2 10 3 7 3" xfId="946" xr:uid="{00000000-0005-0000-0000-0000B6030000}"/>
    <cellStyle name="Примечание 2 10 3 8" xfId="947" xr:uid="{00000000-0005-0000-0000-0000B7030000}"/>
    <cellStyle name="Примечание 2 10 3 9" xfId="948" xr:uid="{00000000-0005-0000-0000-0000B8030000}"/>
    <cellStyle name="Примечание 2 10 4" xfId="949" xr:uid="{00000000-0005-0000-0000-0000B9030000}"/>
    <cellStyle name="Примечание 2 10 4 2" xfId="950" xr:uid="{00000000-0005-0000-0000-0000BA030000}"/>
    <cellStyle name="Примечание 2 10 4 2 2" xfId="951" xr:uid="{00000000-0005-0000-0000-0000BB030000}"/>
    <cellStyle name="Примечание 2 10 4 2 2 2" xfId="952" xr:uid="{00000000-0005-0000-0000-0000BC030000}"/>
    <cellStyle name="Примечание 2 10 4 2 2 3" xfId="953" xr:uid="{00000000-0005-0000-0000-0000BD030000}"/>
    <cellStyle name="Примечание 2 10 4 2 3" xfId="954" xr:uid="{00000000-0005-0000-0000-0000BE030000}"/>
    <cellStyle name="Примечание 2 10 4 2 3 2" xfId="955" xr:uid="{00000000-0005-0000-0000-0000BF030000}"/>
    <cellStyle name="Примечание 2 10 4 2 3 3" xfId="956" xr:uid="{00000000-0005-0000-0000-0000C0030000}"/>
    <cellStyle name="Примечание 2 10 4 2 4" xfId="957" xr:uid="{00000000-0005-0000-0000-0000C1030000}"/>
    <cellStyle name="Примечание 2 10 4 2 4 2" xfId="958" xr:uid="{00000000-0005-0000-0000-0000C2030000}"/>
    <cellStyle name="Примечание 2 10 4 2 4 3" xfId="959" xr:uid="{00000000-0005-0000-0000-0000C3030000}"/>
    <cellStyle name="Примечание 2 10 4 2 5" xfId="960" xr:uid="{00000000-0005-0000-0000-0000C4030000}"/>
    <cellStyle name="Примечание 2 10 4 2 6" xfId="961" xr:uid="{00000000-0005-0000-0000-0000C5030000}"/>
    <cellStyle name="Примечание 2 10 4 3" xfId="962" xr:uid="{00000000-0005-0000-0000-0000C6030000}"/>
    <cellStyle name="Примечание 2 10 4 3 2" xfId="963" xr:uid="{00000000-0005-0000-0000-0000C7030000}"/>
    <cellStyle name="Примечание 2 10 4 3 2 2" xfId="964" xr:uid="{00000000-0005-0000-0000-0000C8030000}"/>
    <cellStyle name="Примечание 2 10 4 3 2 3" xfId="965" xr:uid="{00000000-0005-0000-0000-0000C9030000}"/>
    <cellStyle name="Примечание 2 10 4 3 3" xfId="966" xr:uid="{00000000-0005-0000-0000-0000CA030000}"/>
    <cellStyle name="Примечание 2 10 4 3 3 2" xfId="967" xr:uid="{00000000-0005-0000-0000-0000CB030000}"/>
    <cellStyle name="Примечание 2 10 4 3 3 3" xfId="968" xr:uid="{00000000-0005-0000-0000-0000CC030000}"/>
    <cellStyle name="Примечание 2 10 4 3 4" xfId="969" xr:uid="{00000000-0005-0000-0000-0000CD030000}"/>
    <cellStyle name="Примечание 2 10 4 3 4 2" xfId="970" xr:uid="{00000000-0005-0000-0000-0000CE030000}"/>
    <cellStyle name="Примечание 2 10 4 3 4 3" xfId="971" xr:uid="{00000000-0005-0000-0000-0000CF030000}"/>
    <cellStyle name="Примечание 2 10 4 3 5" xfId="972" xr:uid="{00000000-0005-0000-0000-0000D0030000}"/>
    <cellStyle name="Примечание 2 10 4 3 6" xfId="973" xr:uid="{00000000-0005-0000-0000-0000D1030000}"/>
    <cellStyle name="Примечание 2 10 4 4" xfId="974" xr:uid="{00000000-0005-0000-0000-0000D2030000}"/>
    <cellStyle name="Примечание 2 10 4 4 2" xfId="975" xr:uid="{00000000-0005-0000-0000-0000D3030000}"/>
    <cellStyle name="Примечание 2 10 4 4 2 2" xfId="976" xr:uid="{00000000-0005-0000-0000-0000D4030000}"/>
    <cellStyle name="Примечание 2 10 4 4 2 3" xfId="977" xr:uid="{00000000-0005-0000-0000-0000D5030000}"/>
    <cellStyle name="Примечание 2 10 4 4 3" xfId="978" xr:uid="{00000000-0005-0000-0000-0000D6030000}"/>
    <cellStyle name="Примечание 2 10 4 4 3 2" xfId="979" xr:uid="{00000000-0005-0000-0000-0000D7030000}"/>
    <cellStyle name="Примечание 2 10 4 4 3 3" xfId="980" xr:uid="{00000000-0005-0000-0000-0000D8030000}"/>
    <cellStyle name="Примечание 2 10 4 4 4" xfId="981" xr:uid="{00000000-0005-0000-0000-0000D9030000}"/>
    <cellStyle name="Примечание 2 10 4 4 4 2" xfId="982" xr:uid="{00000000-0005-0000-0000-0000DA030000}"/>
    <cellStyle name="Примечание 2 10 4 4 4 3" xfId="983" xr:uid="{00000000-0005-0000-0000-0000DB030000}"/>
    <cellStyle name="Примечание 2 10 4 4 5" xfId="984" xr:uid="{00000000-0005-0000-0000-0000DC030000}"/>
    <cellStyle name="Примечание 2 10 4 4 6" xfId="985" xr:uid="{00000000-0005-0000-0000-0000DD030000}"/>
    <cellStyle name="Примечание 2 10 4 5" xfId="986" xr:uid="{00000000-0005-0000-0000-0000DE030000}"/>
    <cellStyle name="Примечание 2 10 4 5 2" xfId="987" xr:uid="{00000000-0005-0000-0000-0000DF030000}"/>
    <cellStyle name="Примечание 2 10 4 5 3" xfId="988" xr:uid="{00000000-0005-0000-0000-0000E0030000}"/>
    <cellStyle name="Примечание 2 10 4 6" xfId="989" xr:uid="{00000000-0005-0000-0000-0000E1030000}"/>
    <cellStyle name="Примечание 2 10 4 6 2" xfId="990" xr:uid="{00000000-0005-0000-0000-0000E2030000}"/>
    <cellStyle name="Примечание 2 10 4 6 3" xfId="991" xr:uid="{00000000-0005-0000-0000-0000E3030000}"/>
    <cellStyle name="Примечание 2 10 4 7" xfId="992" xr:uid="{00000000-0005-0000-0000-0000E4030000}"/>
    <cellStyle name="Примечание 2 10 4 7 2" xfId="993" xr:uid="{00000000-0005-0000-0000-0000E5030000}"/>
    <cellStyle name="Примечание 2 10 4 7 3" xfId="994" xr:uid="{00000000-0005-0000-0000-0000E6030000}"/>
    <cellStyle name="Примечание 2 10 4 8" xfId="995" xr:uid="{00000000-0005-0000-0000-0000E7030000}"/>
    <cellStyle name="Примечание 2 10 4 9" xfId="996" xr:uid="{00000000-0005-0000-0000-0000E8030000}"/>
    <cellStyle name="Примечание 2 10 5" xfId="997" xr:uid="{00000000-0005-0000-0000-0000E9030000}"/>
    <cellStyle name="Примечание 2 10 5 2" xfId="998" xr:uid="{00000000-0005-0000-0000-0000EA030000}"/>
    <cellStyle name="Примечание 2 10 5 2 2" xfId="999" xr:uid="{00000000-0005-0000-0000-0000EB030000}"/>
    <cellStyle name="Примечание 2 10 5 2 3" xfId="1000" xr:uid="{00000000-0005-0000-0000-0000EC030000}"/>
    <cellStyle name="Примечание 2 10 5 3" xfId="1001" xr:uid="{00000000-0005-0000-0000-0000ED030000}"/>
    <cellStyle name="Примечание 2 10 5 3 2" xfId="1002" xr:uid="{00000000-0005-0000-0000-0000EE030000}"/>
    <cellStyle name="Примечание 2 10 5 3 3" xfId="1003" xr:uid="{00000000-0005-0000-0000-0000EF030000}"/>
    <cellStyle name="Примечание 2 10 5 4" xfId="1004" xr:uid="{00000000-0005-0000-0000-0000F0030000}"/>
    <cellStyle name="Примечание 2 10 5 4 2" xfId="1005" xr:uid="{00000000-0005-0000-0000-0000F1030000}"/>
    <cellStyle name="Примечание 2 10 5 4 3" xfId="1006" xr:uid="{00000000-0005-0000-0000-0000F2030000}"/>
    <cellStyle name="Примечание 2 10 5 5" xfId="1007" xr:uid="{00000000-0005-0000-0000-0000F3030000}"/>
    <cellStyle name="Примечание 2 10 5 6" xfId="1008" xr:uid="{00000000-0005-0000-0000-0000F4030000}"/>
    <cellStyle name="Примечание 2 10 6" xfId="1009" xr:uid="{00000000-0005-0000-0000-0000F5030000}"/>
    <cellStyle name="Примечание 2 10 6 2" xfId="1010" xr:uid="{00000000-0005-0000-0000-0000F6030000}"/>
    <cellStyle name="Примечание 2 10 6 2 2" xfId="1011" xr:uid="{00000000-0005-0000-0000-0000F7030000}"/>
    <cellStyle name="Примечание 2 10 6 2 3" xfId="1012" xr:uid="{00000000-0005-0000-0000-0000F8030000}"/>
    <cellStyle name="Примечание 2 10 6 3" xfId="1013" xr:uid="{00000000-0005-0000-0000-0000F9030000}"/>
    <cellStyle name="Примечание 2 10 6 3 2" xfId="1014" xr:uid="{00000000-0005-0000-0000-0000FA030000}"/>
    <cellStyle name="Примечание 2 10 6 3 3" xfId="1015" xr:uid="{00000000-0005-0000-0000-0000FB030000}"/>
    <cellStyle name="Примечание 2 10 6 4" xfId="1016" xr:uid="{00000000-0005-0000-0000-0000FC030000}"/>
    <cellStyle name="Примечание 2 10 6 4 2" xfId="1017" xr:uid="{00000000-0005-0000-0000-0000FD030000}"/>
    <cellStyle name="Примечание 2 10 6 4 3" xfId="1018" xr:uid="{00000000-0005-0000-0000-0000FE030000}"/>
    <cellStyle name="Примечание 2 10 6 5" xfId="1019" xr:uid="{00000000-0005-0000-0000-0000FF030000}"/>
    <cellStyle name="Примечание 2 10 6 6" xfId="1020" xr:uid="{00000000-0005-0000-0000-000000040000}"/>
    <cellStyle name="Примечание 2 10 7" xfId="1021" xr:uid="{00000000-0005-0000-0000-000001040000}"/>
    <cellStyle name="Примечание 2 10 7 2" xfId="1022" xr:uid="{00000000-0005-0000-0000-000002040000}"/>
    <cellStyle name="Примечание 2 10 7 2 2" xfId="1023" xr:uid="{00000000-0005-0000-0000-000003040000}"/>
    <cellStyle name="Примечание 2 10 7 2 3" xfId="1024" xr:uid="{00000000-0005-0000-0000-000004040000}"/>
    <cellStyle name="Примечание 2 10 7 3" xfId="1025" xr:uid="{00000000-0005-0000-0000-000005040000}"/>
    <cellStyle name="Примечание 2 10 7 3 2" xfId="1026" xr:uid="{00000000-0005-0000-0000-000006040000}"/>
    <cellStyle name="Примечание 2 10 7 3 3" xfId="1027" xr:uid="{00000000-0005-0000-0000-000007040000}"/>
    <cellStyle name="Примечание 2 10 7 4" xfId="1028" xr:uid="{00000000-0005-0000-0000-000008040000}"/>
    <cellStyle name="Примечание 2 10 7 4 2" xfId="1029" xr:uid="{00000000-0005-0000-0000-000009040000}"/>
    <cellStyle name="Примечание 2 10 7 4 3" xfId="1030" xr:uid="{00000000-0005-0000-0000-00000A040000}"/>
    <cellStyle name="Примечание 2 10 7 5" xfId="1031" xr:uid="{00000000-0005-0000-0000-00000B040000}"/>
    <cellStyle name="Примечание 2 10 7 6" xfId="1032" xr:uid="{00000000-0005-0000-0000-00000C040000}"/>
    <cellStyle name="Примечание 2 10 8" xfId="1033" xr:uid="{00000000-0005-0000-0000-00000D040000}"/>
    <cellStyle name="Примечание 2 10 8 2" xfId="1034" xr:uid="{00000000-0005-0000-0000-00000E040000}"/>
    <cellStyle name="Примечание 2 10 8 3" xfId="1035" xr:uid="{00000000-0005-0000-0000-00000F040000}"/>
    <cellStyle name="Примечание 2 10 9" xfId="1036" xr:uid="{00000000-0005-0000-0000-000010040000}"/>
    <cellStyle name="Примечание 2 10 9 2" xfId="1037" xr:uid="{00000000-0005-0000-0000-000011040000}"/>
    <cellStyle name="Примечание 2 10 9 3" xfId="1038" xr:uid="{00000000-0005-0000-0000-000012040000}"/>
    <cellStyle name="Примечание 2 11" xfId="1039" xr:uid="{00000000-0005-0000-0000-000013040000}"/>
    <cellStyle name="Примечание 2 11 2" xfId="1040" xr:uid="{00000000-0005-0000-0000-000014040000}"/>
    <cellStyle name="Примечание 2 11 2 2" xfId="1041" xr:uid="{00000000-0005-0000-0000-000015040000}"/>
    <cellStyle name="Примечание 2 11 2 2 2" xfId="1042" xr:uid="{00000000-0005-0000-0000-000016040000}"/>
    <cellStyle name="Примечание 2 11 2 2 3" xfId="1043" xr:uid="{00000000-0005-0000-0000-000017040000}"/>
    <cellStyle name="Примечание 2 11 2 3" xfId="1044" xr:uid="{00000000-0005-0000-0000-000018040000}"/>
    <cellStyle name="Примечание 2 11 2 3 2" xfId="1045" xr:uid="{00000000-0005-0000-0000-000019040000}"/>
    <cellStyle name="Примечание 2 11 2 3 3" xfId="1046" xr:uid="{00000000-0005-0000-0000-00001A040000}"/>
    <cellStyle name="Примечание 2 11 2 4" xfId="1047" xr:uid="{00000000-0005-0000-0000-00001B040000}"/>
    <cellStyle name="Примечание 2 11 2 4 2" xfId="1048" xr:uid="{00000000-0005-0000-0000-00001C040000}"/>
    <cellStyle name="Примечание 2 11 2 4 3" xfId="1049" xr:uid="{00000000-0005-0000-0000-00001D040000}"/>
    <cellStyle name="Примечание 2 11 2 5" xfId="1050" xr:uid="{00000000-0005-0000-0000-00001E040000}"/>
    <cellStyle name="Примечание 2 11 2 6" xfId="1051" xr:uid="{00000000-0005-0000-0000-00001F040000}"/>
    <cellStyle name="Примечание 2 11 3" xfId="1052" xr:uid="{00000000-0005-0000-0000-000020040000}"/>
    <cellStyle name="Примечание 2 11 3 2" xfId="1053" xr:uid="{00000000-0005-0000-0000-000021040000}"/>
    <cellStyle name="Примечание 2 11 3 2 2" xfId="1054" xr:uid="{00000000-0005-0000-0000-000022040000}"/>
    <cellStyle name="Примечание 2 11 3 2 3" xfId="1055" xr:uid="{00000000-0005-0000-0000-000023040000}"/>
    <cellStyle name="Примечание 2 11 3 3" xfId="1056" xr:uid="{00000000-0005-0000-0000-000024040000}"/>
    <cellStyle name="Примечание 2 11 3 3 2" xfId="1057" xr:uid="{00000000-0005-0000-0000-000025040000}"/>
    <cellStyle name="Примечание 2 11 3 3 3" xfId="1058" xr:uid="{00000000-0005-0000-0000-000026040000}"/>
    <cellStyle name="Примечание 2 11 3 4" xfId="1059" xr:uid="{00000000-0005-0000-0000-000027040000}"/>
    <cellStyle name="Примечание 2 11 3 4 2" xfId="1060" xr:uid="{00000000-0005-0000-0000-000028040000}"/>
    <cellStyle name="Примечание 2 11 3 4 3" xfId="1061" xr:uid="{00000000-0005-0000-0000-000029040000}"/>
    <cellStyle name="Примечание 2 11 3 5" xfId="1062" xr:uid="{00000000-0005-0000-0000-00002A040000}"/>
    <cellStyle name="Примечание 2 11 3 6" xfId="1063" xr:uid="{00000000-0005-0000-0000-00002B040000}"/>
    <cellStyle name="Примечание 2 11 4" xfId="1064" xr:uid="{00000000-0005-0000-0000-00002C040000}"/>
    <cellStyle name="Примечание 2 11 4 2" xfId="1065" xr:uid="{00000000-0005-0000-0000-00002D040000}"/>
    <cellStyle name="Примечание 2 11 4 2 2" xfId="1066" xr:uid="{00000000-0005-0000-0000-00002E040000}"/>
    <cellStyle name="Примечание 2 11 4 2 3" xfId="1067" xr:uid="{00000000-0005-0000-0000-00002F040000}"/>
    <cellStyle name="Примечание 2 11 4 3" xfId="1068" xr:uid="{00000000-0005-0000-0000-000030040000}"/>
    <cellStyle name="Примечание 2 11 4 3 2" xfId="1069" xr:uid="{00000000-0005-0000-0000-000031040000}"/>
    <cellStyle name="Примечание 2 11 4 3 3" xfId="1070" xr:uid="{00000000-0005-0000-0000-000032040000}"/>
    <cellStyle name="Примечание 2 11 4 4" xfId="1071" xr:uid="{00000000-0005-0000-0000-000033040000}"/>
    <cellStyle name="Примечание 2 11 4 4 2" xfId="1072" xr:uid="{00000000-0005-0000-0000-000034040000}"/>
    <cellStyle name="Примечание 2 11 4 4 3" xfId="1073" xr:uid="{00000000-0005-0000-0000-000035040000}"/>
    <cellStyle name="Примечание 2 11 4 5" xfId="1074" xr:uid="{00000000-0005-0000-0000-000036040000}"/>
    <cellStyle name="Примечание 2 11 4 6" xfId="1075" xr:uid="{00000000-0005-0000-0000-000037040000}"/>
    <cellStyle name="Примечание 2 11 5" xfId="1076" xr:uid="{00000000-0005-0000-0000-000038040000}"/>
    <cellStyle name="Примечание 2 11 5 2" xfId="1077" xr:uid="{00000000-0005-0000-0000-000039040000}"/>
    <cellStyle name="Примечание 2 11 5 3" xfId="1078" xr:uid="{00000000-0005-0000-0000-00003A040000}"/>
    <cellStyle name="Примечание 2 11 6" xfId="1079" xr:uid="{00000000-0005-0000-0000-00003B040000}"/>
    <cellStyle name="Примечание 2 11 6 2" xfId="1080" xr:uid="{00000000-0005-0000-0000-00003C040000}"/>
    <cellStyle name="Примечание 2 11 6 3" xfId="1081" xr:uid="{00000000-0005-0000-0000-00003D040000}"/>
    <cellStyle name="Примечание 2 11 7" xfId="1082" xr:uid="{00000000-0005-0000-0000-00003E040000}"/>
    <cellStyle name="Примечание 2 11 7 2" xfId="1083" xr:uid="{00000000-0005-0000-0000-00003F040000}"/>
    <cellStyle name="Примечание 2 11 7 3" xfId="1084" xr:uid="{00000000-0005-0000-0000-000040040000}"/>
    <cellStyle name="Примечание 2 11 8" xfId="1085" xr:uid="{00000000-0005-0000-0000-000041040000}"/>
    <cellStyle name="Примечание 2 11 9" xfId="1086" xr:uid="{00000000-0005-0000-0000-000042040000}"/>
    <cellStyle name="Примечание 2 12" xfId="1087" xr:uid="{00000000-0005-0000-0000-000043040000}"/>
    <cellStyle name="Примечание 2 12 2" xfId="1088" xr:uid="{00000000-0005-0000-0000-000044040000}"/>
    <cellStyle name="Примечание 2 12 2 2" xfId="1089" xr:uid="{00000000-0005-0000-0000-000045040000}"/>
    <cellStyle name="Примечание 2 12 2 2 2" xfId="1090" xr:uid="{00000000-0005-0000-0000-000046040000}"/>
    <cellStyle name="Примечание 2 12 2 2 3" xfId="1091" xr:uid="{00000000-0005-0000-0000-000047040000}"/>
    <cellStyle name="Примечание 2 12 2 3" xfId="1092" xr:uid="{00000000-0005-0000-0000-000048040000}"/>
    <cellStyle name="Примечание 2 12 2 3 2" xfId="1093" xr:uid="{00000000-0005-0000-0000-000049040000}"/>
    <cellStyle name="Примечание 2 12 2 3 3" xfId="1094" xr:uid="{00000000-0005-0000-0000-00004A040000}"/>
    <cellStyle name="Примечание 2 12 2 4" xfId="1095" xr:uid="{00000000-0005-0000-0000-00004B040000}"/>
    <cellStyle name="Примечание 2 12 2 4 2" xfId="1096" xr:uid="{00000000-0005-0000-0000-00004C040000}"/>
    <cellStyle name="Примечание 2 12 2 4 3" xfId="1097" xr:uid="{00000000-0005-0000-0000-00004D040000}"/>
    <cellStyle name="Примечание 2 12 2 5" xfId="1098" xr:uid="{00000000-0005-0000-0000-00004E040000}"/>
    <cellStyle name="Примечание 2 12 2 6" xfId="1099" xr:uid="{00000000-0005-0000-0000-00004F040000}"/>
    <cellStyle name="Примечание 2 12 3" xfId="1100" xr:uid="{00000000-0005-0000-0000-000050040000}"/>
    <cellStyle name="Примечание 2 12 3 2" xfId="1101" xr:uid="{00000000-0005-0000-0000-000051040000}"/>
    <cellStyle name="Примечание 2 12 3 2 2" xfId="1102" xr:uid="{00000000-0005-0000-0000-000052040000}"/>
    <cellStyle name="Примечание 2 12 3 2 3" xfId="1103" xr:uid="{00000000-0005-0000-0000-000053040000}"/>
    <cellStyle name="Примечание 2 12 3 3" xfId="1104" xr:uid="{00000000-0005-0000-0000-000054040000}"/>
    <cellStyle name="Примечание 2 12 3 3 2" xfId="1105" xr:uid="{00000000-0005-0000-0000-000055040000}"/>
    <cellStyle name="Примечание 2 12 3 3 3" xfId="1106" xr:uid="{00000000-0005-0000-0000-000056040000}"/>
    <cellStyle name="Примечание 2 12 3 4" xfId="1107" xr:uid="{00000000-0005-0000-0000-000057040000}"/>
    <cellStyle name="Примечание 2 12 3 4 2" xfId="1108" xr:uid="{00000000-0005-0000-0000-000058040000}"/>
    <cellStyle name="Примечание 2 12 3 4 3" xfId="1109" xr:uid="{00000000-0005-0000-0000-000059040000}"/>
    <cellStyle name="Примечание 2 12 3 5" xfId="1110" xr:uid="{00000000-0005-0000-0000-00005A040000}"/>
    <cellStyle name="Примечание 2 12 3 6" xfId="1111" xr:uid="{00000000-0005-0000-0000-00005B040000}"/>
    <cellStyle name="Примечание 2 12 4" xfId="1112" xr:uid="{00000000-0005-0000-0000-00005C040000}"/>
    <cellStyle name="Примечание 2 12 4 2" xfId="1113" xr:uid="{00000000-0005-0000-0000-00005D040000}"/>
    <cellStyle name="Примечание 2 12 4 2 2" xfId="1114" xr:uid="{00000000-0005-0000-0000-00005E040000}"/>
    <cellStyle name="Примечание 2 12 4 2 3" xfId="1115" xr:uid="{00000000-0005-0000-0000-00005F040000}"/>
    <cellStyle name="Примечание 2 12 4 3" xfId="1116" xr:uid="{00000000-0005-0000-0000-000060040000}"/>
    <cellStyle name="Примечание 2 12 4 3 2" xfId="1117" xr:uid="{00000000-0005-0000-0000-000061040000}"/>
    <cellStyle name="Примечание 2 12 4 3 3" xfId="1118" xr:uid="{00000000-0005-0000-0000-000062040000}"/>
    <cellStyle name="Примечание 2 12 4 4" xfId="1119" xr:uid="{00000000-0005-0000-0000-000063040000}"/>
    <cellStyle name="Примечание 2 12 4 4 2" xfId="1120" xr:uid="{00000000-0005-0000-0000-000064040000}"/>
    <cellStyle name="Примечание 2 12 4 4 3" xfId="1121" xr:uid="{00000000-0005-0000-0000-000065040000}"/>
    <cellStyle name="Примечание 2 12 4 5" xfId="1122" xr:uid="{00000000-0005-0000-0000-000066040000}"/>
    <cellStyle name="Примечание 2 12 4 6" xfId="1123" xr:uid="{00000000-0005-0000-0000-000067040000}"/>
    <cellStyle name="Примечание 2 12 5" xfId="1124" xr:uid="{00000000-0005-0000-0000-000068040000}"/>
    <cellStyle name="Примечание 2 12 5 2" xfId="1125" xr:uid="{00000000-0005-0000-0000-000069040000}"/>
    <cellStyle name="Примечание 2 12 5 3" xfId="1126" xr:uid="{00000000-0005-0000-0000-00006A040000}"/>
    <cellStyle name="Примечание 2 12 6" xfId="1127" xr:uid="{00000000-0005-0000-0000-00006B040000}"/>
    <cellStyle name="Примечание 2 12 6 2" xfId="1128" xr:uid="{00000000-0005-0000-0000-00006C040000}"/>
    <cellStyle name="Примечание 2 12 6 3" xfId="1129" xr:uid="{00000000-0005-0000-0000-00006D040000}"/>
    <cellStyle name="Примечание 2 12 7" xfId="1130" xr:uid="{00000000-0005-0000-0000-00006E040000}"/>
    <cellStyle name="Примечание 2 12 7 2" xfId="1131" xr:uid="{00000000-0005-0000-0000-00006F040000}"/>
    <cellStyle name="Примечание 2 12 7 3" xfId="1132" xr:uid="{00000000-0005-0000-0000-000070040000}"/>
    <cellStyle name="Примечание 2 12 8" xfId="1133" xr:uid="{00000000-0005-0000-0000-000071040000}"/>
    <cellStyle name="Примечание 2 12 9" xfId="1134" xr:uid="{00000000-0005-0000-0000-000072040000}"/>
    <cellStyle name="Примечание 2 13" xfId="1135" xr:uid="{00000000-0005-0000-0000-000073040000}"/>
    <cellStyle name="Примечание 2 13 2" xfId="1136" xr:uid="{00000000-0005-0000-0000-000074040000}"/>
    <cellStyle name="Примечание 2 13 2 2" xfId="1137" xr:uid="{00000000-0005-0000-0000-000075040000}"/>
    <cellStyle name="Примечание 2 13 2 2 2" xfId="1138" xr:uid="{00000000-0005-0000-0000-000076040000}"/>
    <cellStyle name="Примечание 2 13 2 2 3" xfId="1139" xr:uid="{00000000-0005-0000-0000-000077040000}"/>
    <cellStyle name="Примечание 2 13 2 3" xfId="1140" xr:uid="{00000000-0005-0000-0000-000078040000}"/>
    <cellStyle name="Примечание 2 13 2 3 2" xfId="1141" xr:uid="{00000000-0005-0000-0000-000079040000}"/>
    <cellStyle name="Примечание 2 13 2 3 3" xfId="1142" xr:uid="{00000000-0005-0000-0000-00007A040000}"/>
    <cellStyle name="Примечание 2 13 2 4" xfId="1143" xr:uid="{00000000-0005-0000-0000-00007B040000}"/>
    <cellStyle name="Примечание 2 13 2 4 2" xfId="1144" xr:uid="{00000000-0005-0000-0000-00007C040000}"/>
    <cellStyle name="Примечание 2 13 2 4 3" xfId="1145" xr:uid="{00000000-0005-0000-0000-00007D040000}"/>
    <cellStyle name="Примечание 2 13 2 5" xfId="1146" xr:uid="{00000000-0005-0000-0000-00007E040000}"/>
    <cellStyle name="Примечание 2 13 2 6" xfId="1147" xr:uid="{00000000-0005-0000-0000-00007F040000}"/>
    <cellStyle name="Примечание 2 13 3" xfId="1148" xr:uid="{00000000-0005-0000-0000-000080040000}"/>
    <cellStyle name="Примечание 2 13 3 2" xfId="1149" xr:uid="{00000000-0005-0000-0000-000081040000}"/>
    <cellStyle name="Примечание 2 13 3 2 2" xfId="1150" xr:uid="{00000000-0005-0000-0000-000082040000}"/>
    <cellStyle name="Примечание 2 13 3 2 3" xfId="1151" xr:uid="{00000000-0005-0000-0000-000083040000}"/>
    <cellStyle name="Примечание 2 13 3 3" xfId="1152" xr:uid="{00000000-0005-0000-0000-000084040000}"/>
    <cellStyle name="Примечание 2 13 3 3 2" xfId="1153" xr:uid="{00000000-0005-0000-0000-000085040000}"/>
    <cellStyle name="Примечание 2 13 3 3 3" xfId="1154" xr:uid="{00000000-0005-0000-0000-000086040000}"/>
    <cellStyle name="Примечание 2 13 3 4" xfId="1155" xr:uid="{00000000-0005-0000-0000-000087040000}"/>
    <cellStyle name="Примечание 2 13 3 4 2" xfId="1156" xr:uid="{00000000-0005-0000-0000-000088040000}"/>
    <cellStyle name="Примечание 2 13 3 4 3" xfId="1157" xr:uid="{00000000-0005-0000-0000-000089040000}"/>
    <cellStyle name="Примечание 2 13 3 5" xfId="1158" xr:uid="{00000000-0005-0000-0000-00008A040000}"/>
    <cellStyle name="Примечание 2 13 3 6" xfId="1159" xr:uid="{00000000-0005-0000-0000-00008B040000}"/>
    <cellStyle name="Примечание 2 13 4" xfId="1160" xr:uid="{00000000-0005-0000-0000-00008C040000}"/>
    <cellStyle name="Примечание 2 13 4 2" xfId="1161" xr:uid="{00000000-0005-0000-0000-00008D040000}"/>
    <cellStyle name="Примечание 2 13 4 2 2" xfId="1162" xr:uid="{00000000-0005-0000-0000-00008E040000}"/>
    <cellStyle name="Примечание 2 13 4 2 3" xfId="1163" xr:uid="{00000000-0005-0000-0000-00008F040000}"/>
    <cellStyle name="Примечание 2 13 4 3" xfId="1164" xr:uid="{00000000-0005-0000-0000-000090040000}"/>
    <cellStyle name="Примечание 2 13 4 3 2" xfId="1165" xr:uid="{00000000-0005-0000-0000-000091040000}"/>
    <cellStyle name="Примечание 2 13 4 3 3" xfId="1166" xr:uid="{00000000-0005-0000-0000-000092040000}"/>
    <cellStyle name="Примечание 2 13 4 4" xfId="1167" xr:uid="{00000000-0005-0000-0000-000093040000}"/>
    <cellStyle name="Примечание 2 13 4 4 2" xfId="1168" xr:uid="{00000000-0005-0000-0000-000094040000}"/>
    <cellStyle name="Примечание 2 13 4 4 3" xfId="1169" xr:uid="{00000000-0005-0000-0000-000095040000}"/>
    <cellStyle name="Примечание 2 13 4 5" xfId="1170" xr:uid="{00000000-0005-0000-0000-000096040000}"/>
    <cellStyle name="Примечание 2 13 4 6" xfId="1171" xr:uid="{00000000-0005-0000-0000-000097040000}"/>
    <cellStyle name="Примечание 2 13 5" xfId="1172" xr:uid="{00000000-0005-0000-0000-000098040000}"/>
    <cellStyle name="Примечание 2 13 5 2" xfId="1173" xr:uid="{00000000-0005-0000-0000-000099040000}"/>
    <cellStyle name="Примечание 2 13 5 3" xfId="1174" xr:uid="{00000000-0005-0000-0000-00009A040000}"/>
    <cellStyle name="Примечание 2 13 6" xfId="1175" xr:uid="{00000000-0005-0000-0000-00009B040000}"/>
    <cellStyle name="Примечание 2 13 6 2" xfId="1176" xr:uid="{00000000-0005-0000-0000-00009C040000}"/>
    <cellStyle name="Примечание 2 13 6 3" xfId="1177" xr:uid="{00000000-0005-0000-0000-00009D040000}"/>
    <cellStyle name="Примечание 2 13 7" xfId="1178" xr:uid="{00000000-0005-0000-0000-00009E040000}"/>
    <cellStyle name="Примечание 2 13 7 2" xfId="1179" xr:uid="{00000000-0005-0000-0000-00009F040000}"/>
    <cellStyle name="Примечание 2 13 7 3" xfId="1180" xr:uid="{00000000-0005-0000-0000-0000A0040000}"/>
    <cellStyle name="Примечание 2 13 8" xfId="1181" xr:uid="{00000000-0005-0000-0000-0000A1040000}"/>
    <cellStyle name="Примечание 2 13 9" xfId="1182" xr:uid="{00000000-0005-0000-0000-0000A2040000}"/>
    <cellStyle name="Примечание 2 14" xfId="1183" xr:uid="{00000000-0005-0000-0000-0000A3040000}"/>
    <cellStyle name="Примечание 2 14 2" xfId="1184" xr:uid="{00000000-0005-0000-0000-0000A4040000}"/>
    <cellStyle name="Примечание 2 14 2 2" xfId="1185" xr:uid="{00000000-0005-0000-0000-0000A5040000}"/>
    <cellStyle name="Примечание 2 14 2 3" xfId="1186" xr:uid="{00000000-0005-0000-0000-0000A6040000}"/>
    <cellStyle name="Примечание 2 14 3" xfId="1187" xr:uid="{00000000-0005-0000-0000-0000A7040000}"/>
    <cellStyle name="Примечание 2 14 3 2" xfId="1188" xr:uid="{00000000-0005-0000-0000-0000A8040000}"/>
    <cellStyle name="Примечание 2 14 3 3" xfId="1189" xr:uid="{00000000-0005-0000-0000-0000A9040000}"/>
    <cellStyle name="Примечание 2 14 4" xfId="1190" xr:uid="{00000000-0005-0000-0000-0000AA040000}"/>
    <cellStyle name="Примечание 2 14 4 2" xfId="1191" xr:uid="{00000000-0005-0000-0000-0000AB040000}"/>
    <cellStyle name="Примечание 2 14 4 3" xfId="1192" xr:uid="{00000000-0005-0000-0000-0000AC040000}"/>
    <cellStyle name="Примечание 2 14 5" xfId="1193" xr:uid="{00000000-0005-0000-0000-0000AD040000}"/>
    <cellStyle name="Примечание 2 14 6" xfId="1194" xr:uid="{00000000-0005-0000-0000-0000AE040000}"/>
    <cellStyle name="Примечание 2 15" xfId="1195" xr:uid="{00000000-0005-0000-0000-0000AF040000}"/>
    <cellStyle name="Примечание 2 15 2" xfId="1196" xr:uid="{00000000-0005-0000-0000-0000B0040000}"/>
    <cellStyle name="Примечание 2 15 2 2" xfId="1197" xr:uid="{00000000-0005-0000-0000-0000B1040000}"/>
    <cellStyle name="Примечание 2 15 2 3" xfId="1198" xr:uid="{00000000-0005-0000-0000-0000B2040000}"/>
    <cellStyle name="Примечание 2 15 3" xfId="1199" xr:uid="{00000000-0005-0000-0000-0000B3040000}"/>
    <cellStyle name="Примечание 2 15 3 2" xfId="1200" xr:uid="{00000000-0005-0000-0000-0000B4040000}"/>
    <cellStyle name="Примечание 2 15 3 3" xfId="1201" xr:uid="{00000000-0005-0000-0000-0000B5040000}"/>
    <cellStyle name="Примечание 2 15 4" xfId="1202" xr:uid="{00000000-0005-0000-0000-0000B6040000}"/>
    <cellStyle name="Примечание 2 15 4 2" xfId="1203" xr:uid="{00000000-0005-0000-0000-0000B7040000}"/>
    <cellStyle name="Примечание 2 15 4 3" xfId="1204" xr:uid="{00000000-0005-0000-0000-0000B8040000}"/>
    <cellStyle name="Примечание 2 15 5" xfId="1205" xr:uid="{00000000-0005-0000-0000-0000B9040000}"/>
    <cellStyle name="Примечание 2 15 6" xfId="1206" xr:uid="{00000000-0005-0000-0000-0000BA040000}"/>
    <cellStyle name="Примечание 2 16" xfId="1207" xr:uid="{00000000-0005-0000-0000-0000BB040000}"/>
    <cellStyle name="Примечание 2 16 2" xfId="1208" xr:uid="{00000000-0005-0000-0000-0000BC040000}"/>
    <cellStyle name="Примечание 2 16 2 2" xfId="1209" xr:uid="{00000000-0005-0000-0000-0000BD040000}"/>
    <cellStyle name="Примечание 2 16 2 3" xfId="1210" xr:uid="{00000000-0005-0000-0000-0000BE040000}"/>
    <cellStyle name="Примечание 2 16 3" xfId="1211" xr:uid="{00000000-0005-0000-0000-0000BF040000}"/>
    <cellStyle name="Примечание 2 16 3 2" xfId="1212" xr:uid="{00000000-0005-0000-0000-0000C0040000}"/>
    <cellStyle name="Примечание 2 16 3 3" xfId="1213" xr:uid="{00000000-0005-0000-0000-0000C1040000}"/>
    <cellStyle name="Примечание 2 16 4" xfId="1214" xr:uid="{00000000-0005-0000-0000-0000C2040000}"/>
    <cellStyle name="Примечание 2 16 4 2" xfId="1215" xr:uid="{00000000-0005-0000-0000-0000C3040000}"/>
    <cellStyle name="Примечание 2 16 4 3" xfId="1216" xr:uid="{00000000-0005-0000-0000-0000C4040000}"/>
    <cellStyle name="Примечание 2 16 5" xfId="1217" xr:uid="{00000000-0005-0000-0000-0000C5040000}"/>
    <cellStyle name="Примечание 2 16 6" xfId="1218" xr:uid="{00000000-0005-0000-0000-0000C6040000}"/>
    <cellStyle name="Примечание 2 17" xfId="1219" xr:uid="{00000000-0005-0000-0000-0000C7040000}"/>
    <cellStyle name="Примечание 2 17 2" xfId="1220" xr:uid="{00000000-0005-0000-0000-0000C8040000}"/>
    <cellStyle name="Примечание 2 17 3" xfId="1221" xr:uid="{00000000-0005-0000-0000-0000C9040000}"/>
    <cellStyle name="Примечание 2 18" xfId="1222" xr:uid="{00000000-0005-0000-0000-0000CA040000}"/>
    <cellStyle name="Примечание 2 18 2" xfId="1223" xr:uid="{00000000-0005-0000-0000-0000CB040000}"/>
    <cellStyle name="Примечание 2 18 3" xfId="1224" xr:uid="{00000000-0005-0000-0000-0000CC040000}"/>
    <cellStyle name="Примечание 2 19" xfId="1225" xr:uid="{00000000-0005-0000-0000-0000CD040000}"/>
    <cellStyle name="Примечание 2 19 2" xfId="1226" xr:uid="{00000000-0005-0000-0000-0000CE040000}"/>
    <cellStyle name="Примечание 2 19 3" xfId="1227" xr:uid="{00000000-0005-0000-0000-0000CF040000}"/>
    <cellStyle name="Примечание 2 2" xfId="1228" xr:uid="{00000000-0005-0000-0000-0000D0040000}"/>
    <cellStyle name="Примечание 2 2 2" xfId="1229" xr:uid="{00000000-0005-0000-0000-0000D1040000}"/>
    <cellStyle name="Примечание 2 2 2 2" xfId="1230" xr:uid="{00000000-0005-0000-0000-0000D2040000}"/>
    <cellStyle name="Примечание 2 2 2 2 2" xfId="1231" xr:uid="{00000000-0005-0000-0000-0000D3040000}"/>
    <cellStyle name="Примечание 2 2 2 2 3" xfId="1232" xr:uid="{00000000-0005-0000-0000-0000D4040000}"/>
    <cellStyle name="Примечание 2 2 2 3" xfId="1233" xr:uid="{00000000-0005-0000-0000-0000D5040000}"/>
    <cellStyle name="Примечание 2 2 2 3 2" xfId="1234" xr:uid="{00000000-0005-0000-0000-0000D6040000}"/>
    <cellStyle name="Примечание 2 2 2 3 3" xfId="1235" xr:uid="{00000000-0005-0000-0000-0000D7040000}"/>
    <cellStyle name="Примечание 2 2 2 4" xfId="1236" xr:uid="{00000000-0005-0000-0000-0000D8040000}"/>
    <cellStyle name="Примечание 2 2 2 4 2" xfId="1237" xr:uid="{00000000-0005-0000-0000-0000D9040000}"/>
    <cellStyle name="Примечание 2 2 2 4 3" xfId="1238" xr:uid="{00000000-0005-0000-0000-0000DA040000}"/>
    <cellStyle name="Примечание 2 2 2 5" xfId="1239" xr:uid="{00000000-0005-0000-0000-0000DB040000}"/>
    <cellStyle name="Примечание 2 2 2 6" xfId="1240" xr:uid="{00000000-0005-0000-0000-0000DC040000}"/>
    <cellStyle name="Примечание 2 2 3" xfId="1241" xr:uid="{00000000-0005-0000-0000-0000DD040000}"/>
    <cellStyle name="Примечание 2 2 3 2" xfId="1242" xr:uid="{00000000-0005-0000-0000-0000DE040000}"/>
    <cellStyle name="Примечание 2 2 3 2 2" xfId="1243" xr:uid="{00000000-0005-0000-0000-0000DF040000}"/>
    <cellStyle name="Примечание 2 2 3 2 3" xfId="1244" xr:uid="{00000000-0005-0000-0000-0000E0040000}"/>
    <cellStyle name="Примечание 2 2 3 3" xfId="1245" xr:uid="{00000000-0005-0000-0000-0000E1040000}"/>
    <cellStyle name="Примечание 2 2 3 3 2" xfId="1246" xr:uid="{00000000-0005-0000-0000-0000E2040000}"/>
    <cellStyle name="Примечание 2 2 3 3 3" xfId="1247" xr:uid="{00000000-0005-0000-0000-0000E3040000}"/>
    <cellStyle name="Примечание 2 2 3 4" xfId="1248" xr:uid="{00000000-0005-0000-0000-0000E4040000}"/>
    <cellStyle name="Примечание 2 2 3 4 2" xfId="1249" xr:uid="{00000000-0005-0000-0000-0000E5040000}"/>
    <cellStyle name="Примечание 2 2 3 4 3" xfId="1250" xr:uid="{00000000-0005-0000-0000-0000E6040000}"/>
    <cellStyle name="Примечание 2 2 3 5" xfId="1251" xr:uid="{00000000-0005-0000-0000-0000E7040000}"/>
    <cellStyle name="Примечание 2 2 3 6" xfId="1252" xr:uid="{00000000-0005-0000-0000-0000E8040000}"/>
    <cellStyle name="Примечание 2 2 4" xfId="1253" xr:uid="{00000000-0005-0000-0000-0000E9040000}"/>
    <cellStyle name="Примечание 2 2 4 2" xfId="1254" xr:uid="{00000000-0005-0000-0000-0000EA040000}"/>
    <cellStyle name="Примечание 2 2 4 2 2" xfId="1255" xr:uid="{00000000-0005-0000-0000-0000EB040000}"/>
    <cellStyle name="Примечание 2 2 4 2 3" xfId="1256" xr:uid="{00000000-0005-0000-0000-0000EC040000}"/>
    <cellStyle name="Примечание 2 2 4 3" xfId="1257" xr:uid="{00000000-0005-0000-0000-0000ED040000}"/>
    <cellStyle name="Примечание 2 2 4 3 2" xfId="1258" xr:uid="{00000000-0005-0000-0000-0000EE040000}"/>
    <cellStyle name="Примечание 2 2 4 3 3" xfId="1259" xr:uid="{00000000-0005-0000-0000-0000EF040000}"/>
    <cellStyle name="Примечание 2 2 4 4" xfId="1260" xr:uid="{00000000-0005-0000-0000-0000F0040000}"/>
    <cellStyle name="Примечание 2 2 4 4 2" xfId="1261" xr:uid="{00000000-0005-0000-0000-0000F1040000}"/>
    <cellStyle name="Примечание 2 2 4 4 3" xfId="1262" xr:uid="{00000000-0005-0000-0000-0000F2040000}"/>
    <cellStyle name="Примечание 2 2 4 5" xfId="1263" xr:uid="{00000000-0005-0000-0000-0000F3040000}"/>
    <cellStyle name="Примечание 2 2 4 6" xfId="1264" xr:uid="{00000000-0005-0000-0000-0000F4040000}"/>
    <cellStyle name="Примечание 2 2 5" xfId="1265" xr:uid="{00000000-0005-0000-0000-0000F5040000}"/>
    <cellStyle name="Примечание 2 2 5 2" xfId="1266" xr:uid="{00000000-0005-0000-0000-0000F6040000}"/>
    <cellStyle name="Примечание 2 2 5 3" xfId="1267" xr:uid="{00000000-0005-0000-0000-0000F7040000}"/>
    <cellStyle name="Примечание 2 2 6" xfId="1268" xr:uid="{00000000-0005-0000-0000-0000F8040000}"/>
    <cellStyle name="Примечание 2 2 6 2" xfId="1269" xr:uid="{00000000-0005-0000-0000-0000F9040000}"/>
    <cellStyle name="Примечание 2 2 6 3" xfId="1270" xr:uid="{00000000-0005-0000-0000-0000FA040000}"/>
    <cellStyle name="Примечание 2 2 7" xfId="1271" xr:uid="{00000000-0005-0000-0000-0000FB040000}"/>
    <cellStyle name="Примечание 2 2 7 2" xfId="1272" xr:uid="{00000000-0005-0000-0000-0000FC040000}"/>
    <cellStyle name="Примечание 2 2 7 3" xfId="1273" xr:uid="{00000000-0005-0000-0000-0000FD040000}"/>
    <cellStyle name="Примечание 2 2 8" xfId="1274" xr:uid="{00000000-0005-0000-0000-0000FE040000}"/>
    <cellStyle name="Примечание 2 2 9" xfId="1275" xr:uid="{00000000-0005-0000-0000-0000FF040000}"/>
    <cellStyle name="Примечание 2 20" xfId="1276" xr:uid="{00000000-0005-0000-0000-000000050000}"/>
    <cellStyle name="Примечание 2 21" xfId="1277" xr:uid="{00000000-0005-0000-0000-000001050000}"/>
    <cellStyle name="Примечание 2 3" xfId="1278" xr:uid="{00000000-0005-0000-0000-000002050000}"/>
    <cellStyle name="Примечание 2 3 2" xfId="1279" xr:uid="{00000000-0005-0000-0000-000003050000}"/>
    <cellStyle name="Примечание 2 3 2 2" xfId="1280" xr:uid="{00000000-0005-0000-0000-000004050000}"/>
    <cellStyle name="Примечание 2 3 2 2 2" xfId="1281" xr:uid="{00000000-0005-0000-0000-000005050000}"/>
    <cellStyle name="Примечание 2 3 2 2 3" xfId="1282" xr:uid="{00000000-0005-0000-0000-000006050000}"/>
    <cellStyle name="Примечание 2 3 2 3" xfId="1283" xr:uid="{00000000-0005-0000-0000-000007050000}"/>
    <cellStyle name="Примечание 2 3 2 3 2" xfId="1284" xr:uid="{00000000-0005-0000-0000-000008050000}"/>
    <cellStyle name="Примечание 2 3 2 3 3" xfId="1285" xr:uid="{00000000-0005-0000-0000-000009050000}"/>
    <cellStyle name="Примечание 2 3 2 4" xfId="1286" xr:uid="{00000000-0005-0000-0000-00000A050000}"/>
    <cellStyle name="Примечание 2 3 2 4 2" xfId="1287" xr:uid="{00000000-0005-0000-0000-00000B050000}"/>
    <cellStyle name="Примечание 2 3 2 4 3" xfId="1288" xr:uid="{00000000-0005-0000-0000-00000C050000}"/>
    <cellStyle name="Примечание 2 3 2 5" xfId="1289" xr:uid="{00000000-0005-0000-0000-00000D050000}"/>
    <cellStyle name="Примечание 2 3 2 6" xfId="1290" xr:uid="{00000000-0005-0000-0000-00000E050000}"/>
    <cellStyle name="Примечание 2 3 3" xfId="1291" xr:uid="{00000000-0005-0000-0000-00000F050000}"/>
    <cellStyle name="Примечание 2 3 3 2" xfId="1292" xr:uid="{00000000-0005-0000-0000-000010050000}"/>
    <cellStyle name="Примечание 2 3 3 2 2" xfId="1293" xr:uid="{00000000-0005-0000-0000-000011050000}"/>
    <cellStyle name="Примечание 2 3 3 2 3" xfId="1294" xr:uid="{00000000-0005-0000-0000-000012050000}"/>
    <cellStyle name="Примечание 2 3 3 3" xfId="1295" xr:uid="{00000000-0005-0000-0000-000013050000}"/>
    <cellStyle name="Примечание 2 3 3 3 2" xfId="1296" xr:uid="{00000000-0005-0000-0000-000014050000}"/>
    <cellStyle name="Примечание 2 3 3 3 3" xfId="1297" xr:uid="{00000000-0005-0000-0000-000015050000}"/>
    <cellStyle name="Примечание 2 3 3 4" xfId="1298" xr:uid="{00000000-0005-0000-0000-000016050000}"/>
    <cellStyle name="Примечание 2 3 3 4 2" xfId="1299" xr:uid="{00000000-0005-0000-0000-000017050000}"/>
    <cellStyle name="Примечание 2 3 3 4 3" xfId="1300" xr:uid="{00000000-0005-0000-0000-000018050000}"/>
    <cellStyle name="Примечание 2 3 3 5" xfId="1301" xr:uid="{00000000-0005-0000-0000-000019050000}"/>
    <cellStyle name="Примечание 2 3 3 6" xfId="1302" xr:uid="{00000000-0005-0000-0000-00001A050000}"/>
    <cellStyle name="Примечание 2 3 4" xfId="1303" xr:uid="{00000000-0005-0000-0000-00001B050000}"/>
    <cellStyle name="Примечание 2 3 4 2" xfId="1304" xr:uid="{00000000-0005-0000-0000-00001C050000}"/>
    <cellStyle name="Примечание 2 3 4 2 2" xfId="1305" xr:uid="{00000000-0005-0000-0000-00001D050000}"/>
    <cellStyle name="Примечание 2 3 4 2 3" xfId="1306" xr:uid="{00000000-0005-0000-0000-00001E050000}"/>
    <cellStyle name="Примечание 2 3 4 3" xfId="1307" xr:uid="{00000000-0005-0000-0000-00001F050000}"/>
    <cellStyle name="Примечание 2 3 4 3 2" xfId="1308" xr:uid="{00000000-0005-0000-0000-000020050000}"/>
    <cellStyle name="Примечание 2 3 4 3 3" xfId="1309" xr:uid="{00000000-0005-0000-0000-000021050000}"/>
    <cellStyle name="Примечание 2 3 4 4" xfId="1310" xr:uid="{00000000-0005-0000-0000-000022050000}"/>
    <cellStyle name="Примечание 2 3 4 4 2" xfId="1311" xr:uid="{00000000-0005-0000-0000-000023050000}"/>
    <cellStyle name="Примечание 2 3 4 4 3" xfId="1312" xr:uid="{00000000-0005-0000-0000-000024050000}"/>
    <cellStyle name="Примечание 2 3 4 5" xfId="1313" xr:uid="{00000000-0005-0000-0000-000025050000}"/>
    <cellStyle name="Примечание 2 3 4 6" xfId="1314" xr:uid="{00000000-0005-0000-0000-000026050000}"/>
    <cellStyle name="Примечание 2 3 5" xfId="1315" xr:uid="{00000000-0005-0000-0000-000027050000}"/>
    <cellStyle name="Примечание 2 3 5 2" xfId="1316" xr:uid="{00000000-0005-0000-0000-000028050000}"/>
    <cellStyle name="Примечание 2 3 5 3" xfId="1317" xr:uid="{00000000-0005-0000-0000-000029050000}"/>
    <cellStyle name="Примечание 2 3 6" xfId="1318" xr:uid="{00000000-0005-0000-0000-00002A050000}"/>
    <cellStyle name="Примечание 2 3 6 2" xfId="1319" xr:uid="{00000000-0005-0000-0000-00002B050000}"/>
    <cellStyle name="Примечание 2 3 6 3" xfId="1320" xr:uid="{00000000-0005-0000-0000-00002C050000}"/>
    <cellStyle name="Примечание 2 3 7" xfId="1321" xr:uid="{00000000-0005-0000-0000-00002D050000}"/>
    <cellStyle name="Примечание 2 3 7 2" xfId="1322" xr:uid="{00000000-0005-0000-0000-00002E050000}"/>
    <cellStyle name="Примечание 2 3 7 3" xfId="1323" xr:uid="{00000000-0005-0000-0000-00002F050000}"/>
    <cellStyle name="Примечание 2 3 8" xfId="1324" xr:uid="{00000000-0005-0000-0000-000030050000}"/>
    <cellStyle name="Примечание 2 3 9" xfId="1325" xr:uid="{00000000-0005-0000-0000-000031050000}"/>
    <cellStyle name="Примечание 2 4" xfId="1326" xr:uid="{00000000-0005-0000-0000-000032050000}"/>
    <cellStyle name="Примечание 2 4 10" xfId="1327" xr:uid="{00000000-0005-0000-0000-000033050000}"/>
    <cellStyle name="Примечание 2 4 10 2" xfId="1328" xr:uid="{00000000-0005-0000-0000-000034050000}"/>
    <cellStyle name="Примечание 2 4 10 3" xfId="1329" xr:uid="{00000000-0005-0000-0000-000035050000}"/>
    <cellStyle name="Примечание 2 4 11" xfId="1330" xr:uid="{00000000-0005-0000-0000-000036050000}"/>
    <cellStyle name="Примечание 2 4 12" xfId="1331" xr:uid="{00000000-0005-0000-0000-000037050000}"/>
    <cellStyle name="Примечание 2 4 2" xfId="1332" xr:uid="{00000000-0005-0000-0000-000038050000}"/>
    <cellStyle name="Примечание 2 4 2 2" xfId="1333" xr:uid="{00000000-0005-0000-0000-000039050000}"/>
    <cellStyle name="Примечание 2 4 2 2 2" xfId="1334" xr:uid="{00000000-0005-0000-0000-00003A050000}"/>
    <cellStyle name="Примечание 2 4 2 2 2 2" xfId="1335" xr:uid="{00000000-0005-0000-0000-00003B050000}"/>
    <cellStyle name="Примечание 2 4 2 2 2 3" xfId="1336" xr:uid="{00000000-0005-0000-0000-00003C050000}"/>
    <cellStyle name="Примечание 2 4 2 2 3" xfId="1337" xr:uid="{00000000-0005-0000-0000-00003D050000}"/>
    <cellStyle name="Примечание 2 4 2 2 3 2" xfId="1338" xr:uid="{00000000-0005-0000-0000-00003E050000}"/>
    <cellStyle name="Примечание 2 4 2 2 3 3" xfId="1339" xr:uid="{00000000-0005-0000-0000-00003F050000}"/>
    <cellStyle name="Примечание 2 4 2 2 4" xfId="1340" xr:uid="{00000000-0005-0000-0000-000040050000}"/>
    <cellStyle name="Примечание 2 4 2 2 4 2" xfId="1341" xr:uid="{00000000-0005-0000-0000-000041050000}"/>
    <cellStyle name="Примечание 2 4 2 2 4 3" xfId="1342" xr:uid="{00000000-0005-0000-0000-000042050000}"/>
    <cellStyle name="Примечание 2 4 2 2 5" xfId="1343" xr:uid="{00000000-0005-0000-0000-000043050000}"/>
    <cellStyle name="Примечание 2 4 2 2 6" xfId="1344" xr:uid="{00000000-0005-0000-0000-000044050000}"/>
    <cellStyle name="Примечание 2 4 2 3" xfId="1345" xr:uid="{00000000-0005-0000-0000-000045050000}"/>
    <cellStyle name="Примечание 2 4 2 3 2" xfId="1346" xr:uid="{00000000-0005-0000-0000-000046050000}"/>
    <cellStyle name="Примечание 2 4 2 3 2 2" xfId="1347" xr:uid="{00000000-0005-0000-0000-000047050000}"/>
    <cellStyle name="Примечание 2 4 2 3 2 3" xfId="1348" xr:uid="{00000000-0005-0000-0000-000048050000}"/>
    <cellStyle name="Примечание 2 4 2 3 3" xfId="1349" xr:uid="{00000000-0005-0000-0000-000049050000}"/>
    <cellStyle name="Примечание 2 4 2 3 3 2" xfId="1350" xr:uid="{00000000-0005-0000-0000-00004A050000}"/>
    <cellStyle name="Примечание 2 4 2 3 3 3" xfId="1351" xr:uid="{00000000-0005-0000-0000-00004B050000}"/>
    <cellStyle name="Примечание 2 4 2 3 4" xfId="1352" xr:uid="{00000000-0005-0000-0000-00004C050000}"/>
    <cellStyle name="Примечание 2 4 2 3 4 2" xfId="1353" xr:uid="{00000000-0005-0000-0000-00004D050000}"/>
    <cellStyle name="Примечание 2 4 2 3 4 3" xfId="1354" xr:uid="{00000000-0005-0000-0000-00004E050000}"/>
    <cellStyle name="Примечание 2 4 2 3 5" xfId="1355" xr:uid="{00000000-0005-0000-0000-00004F050000}"/>
    <cellStyle name="Примечание 2 4 2 3 6" xfId="1356" xr:uid="{00000000-0005-0000-0000-000050050000}"/>
    <cellStyle name="Примечание 2 4 2 4" xfId="1357" xr:uid="{00000000-0005-0000-0000-000051050000}"/>
    <cellStyle name="Примечание 2 4 2 4 2" xfId="1358" xr:uid="{00000000-0005-0000-0000-000052050000}"/>
    <cellStyle name="Примечание 2 4 2 4 2 2" xfId="1359" xr:uid="{00000000-0005-0000-0000-000053050000}"/>
    <cellStyle name="Примечание 2 4 2 4 2 3" xfId="1360" xr:uid="{00000000-0005-0000-0000-000054050000}"/>
    <cellStyle name="Примечание 2 4 2 4 3" xfId="1361" xr:uid="{00000000-0005-0000-0000-000055050000}"/>
    <cellStyle name="Примечание 2 4 2 4 3 2" xfId="1362" xr:uid="{00000000-0005-0000-0000-000056050000}"/>
    <cellStyle name="Примечание 2 4 2 4 3 3" xfId="1363" xr:uid="{00000000-0005-0000-0000-000057050000}"/>
    <cellStyle name="Примечание 2 4 2 4 4" xfId="1364" xr:uid="{00000000-0005-0000-0000-000058050000}"/>
    <cellStyle name="Примечание 2 4 2 4 4 2" xfId="1365" xr:uid="{00000000-0005-0000-0000-000059050000}"/>
    <cellStyle name="Примечание 2 4 2 4 4 3" xfId="1366" xr:uid="{00000000-0005-0000-0000-00005A050000}"/>
    <cellStyle name="Примечание 2 4 2 4 5" xfId="1367" xr:uid="{00000000-0005-0000-0000-00005B050000}"/>
    <cellStyle name="Примечание 2 4 2 4 6" xfId="1368" xr:uid="{00000000-0005-0000-0000-00005C050000}"/>
    <cellStyle name="Примечание 2 4 2 5" xfId="1369" xr:uid="{00000000-0005-0000-0000-00005D050000}"/>
    <cellStyle name="Примечание 2 4 2 5 2" xfId="1370" xr:uid="{00000000-0005-0000-0000-00005E050000}"/>
    <cellStyle name="Примечание 2 4 2 5 3" xfId="1371" xr:uid="{00000000-0005-0000-0000-00005F050000}"/>
    <cellStyle name="Примечание 2 4 2 6" xfId="1372" xr:uid="{00000000-0005-0000-0000-000060050000}"/>
    <cellStyle name="Примечание 2 4 2 6 2" xfId="1373" xr:uid="{00000000-0005-0000-0000-000061050000}"/>
    <cellStyle name="Примечание 2 4 2 6 3" xfId="1374" xr:uid="{00000000-0005-0000-0000-000062050000}"/>
    <cellStyle name="Примечание 2 4 2 7" xfId="1375" xr:uid="{00000000-0005-0000-0000-000063050000}"/>
    <cellStyle name="Примечание 2 4 2 7 2" xfId="1376" xr:uid="{00000000-0005-0000-0000-000064050000}"/>
    <cellStyle name="Примечание 2 4 2 7 3" xfId="1377" xr:uid="{00000000-0005-0000-0000-000065050000}"/>
    <cellStyle name="Примечание 2 4 2 8" xfId="1378" xr:uid="{00000000-0005-0000-0000-000066050000}"/>
    <cellStyle name="Примечание 2 4 2 9" xfId="1379" xr:uid="{00000000-0005-0000-0000-000067050000}"/>
    <cellStyle name="Примечание 2 4 3" xfId="1380" xr:uid="{00000000-0005-0000-0000-000068050000}"/>
    <cellStyle name="Примечание 2 4 3 2" xfId="1381" xr:uid="{00000000-0005-0000-0000-000069050000}"/>
    <cellStyle name="Примечание 2 4 3 2 2" xfId="1382" xr:uid="{00000000-0005-0000-0000-00006A050000}"/>
    <cellStyle name="Примечание 2 4 3 2 2 2" xfId="1383" xr:uid="{00000000-0005-0000-0000-00006B050000}"/>
    <cellStyle name="Примечание 2 4 3 2 2 3" xfId="1384" xr:uid="{00000000-0005-0000-0000-00006C050000}"/>
    <cellStyle name="Примечание 2 4 3 2 3" xfId="1385" xr:uid="{00000000-0005-0000-0000-00006D050000}"/>
    <cellStyle name="Примечание 2 4 3 2 3 2" xfId="1386" xr:uid="{00000000-0005-0000-0000-00006E050000}"/>
    <cellStyle name="Примечание 2 4 3 2 3 3" xfId="1387" xr:uid="{00000000-0005-0000-0000-00006F050000}"/>
    <cellStyle name="Примечание 2 4 3 2 4" xfId="1388" xr:uid="{00000000-0005-0000-0000-000070050000}"/>
    <cellStyle name="Примечание 2 4 3 2 4 2" xfId="1389" xr:uid="{00000000-0005-0000-0000-000071050000}"/>
    <cellStyle name="Примечание 2 4 3 2 4 3" xfId="1390" xr:uid="{00000000-0005-0000-0000-000072050000}"/>
    <cellStyle name="Примечание 2 4 3 2 5" xfId="1391" xr:uid="{00000000-0005-0000-0000-000073050000}"/>
    <cellStyle name="Примечание 2 4 3 2 6" xfId="1392" xr:uid="{00000000-0005-0000-0000-000074050000}"/>
    <cellStyle name="Примечание 2 4 3 3" xfId="1393" xr:uid="{00000000-0005-0000-0000-000075050000}"/>
    <cellStyle name="Примечание 2 4 3 3 2" xfId="1394" xr:uid="{00000000-0005-0000-0000-000076050000}"/>
    <cellStyle name="Примечание 2 4 3 3 2 2" xfId="1395" xr:uid="{00000000-0005-0000-0000-000077050000}"/>
    <cellStyle name="Примечание 2 4 3 3 2 3" xfId="1396" xr:uid="{00000000-0005-0000-0000-000078050000}"/>
    <cellStyle name="Примечание 2 4 3 3 3" xfId="1397" xr:uid="{00000000-0005-0000-0000-000079050000}"/>
    <cellStyle name="Примечание 2 4 3 3 3 2" xfId="1398" xr:uid="{00000000-0005-0000-0000-00007A050000}"/>
    <cellStyle name="Примечание 2 4 3 3 3 3" xfId="1399" xr:uid="{00000000-0005-0000-0000-00007B050000}"/>
    <cellStyle name="Примечание 2 4 3 3 4" xfId="1400" xr:uid="{00000000-0005-0000-0000-00007C050000}"/>
    <cellStyle name="Примечание 2 4 3 3 4 2" xfId="1401" xr:uid="{00000000-0005-0000-0000-00007D050000}"/>
    <cellStyle name="Примечание 2 4 3 3 4 3" xfId="1402" xr:uid="{00000000-0005-0000-0000-00007E050000}"/>
    <cellStyle name="Примечание 2 4 3 3 5" xfId="1403" xr:uid="{00000000-0005-0000-0000-00007F050000}"/>
    <cellStyle name="Примечание 2 4 3 3 6" xfId="1404" xr:uid="{00000000-0005-0000-0000-000080050000}"/>
    <cellStyle name="Примечание 2 4 3 4" xfId="1405" xr:uid="{00000000-0005-0000-0000-000081050000}"/>
    <cellStyle name="Примечание 2 4 3 4 2" xfId="1406" xr:uid="{00000000-0005-0000-0000-000082050000}"/>
    <cellStyle name="Примечание 2 4 3 4 2 2" xfId="1407" xr:uid="{00000000-0005-0000-0000-000083050000}"/>
    <cellStyle name="Примечание 2 4 3 4 2 3" xfId="1408" xr:uid="{00000000-0005-0000-0000-000084050000}"/>
    <cellStyle name="Примечание 2 4 3 4 3" xfId="1409" xr:uid="{00000000-0005-0000-0000-000085050000}"/>
    <cellStyle name="Примечание 2 4 3 4 3 2" xfId="1410" xr:uid="{00000000-0005-0000-0000-000086050000}"/>
    <cellStyle name="Примечание 2 4 3 4 3 3" xfId="1411" xr:uid="{00000000-0005-0000-0000-000087050000}"/>
    <cellStyle name="Примечание 2 4 3 4 4" xfId="1412" xr:uid="{00000000-0005-0000-0000-000088050000}"/>
    <cellStyle name="Примечание 2 4 3 4 4 2" xfId="1413" xr:uid="{00000000-0005-0000-0000-000089050000}"/>
    <cellStyle name="Примечание 2 4 3 4 4 3" xfId="1414" xr:uid="{00000000-0005-0000-0000-00008A050000}"/>
    <cellStyle name="Примечание 2 4 3 4 5" xfId="1415" xr:uid="{00000000-0005-0000-0000-00008B050000}"/>
    <cellStyle name="Примечание 2 4 3 4 6" xfId="1416" xr:uid="{00000000-0005-0000-0000-00008C050000}"/>
    <cellStyle name="Примечание 2 4 3 5" xfId="1417" xr:uid="{00000000-0005-0000-0000-00008D050000}"/>
    <cellStyle name="Примечание 2 4 3 5 2" xfId="1418" xr:uid="{00000000-0005-0000-0000-00008E050000}"/>
    <cellStyle name="Примечание 2 4 3 5 3" xfId="1419" xr:uid="{00000000-0005-0000-0000-00008F050000}"/>
    <cellStyle name="Примечание 2 4 3 6" xfId="1420" xr:uid="{00000000-0005-0000-0000-000090050000}"/>
    <cellStyle name="Примечание 2 4 3 6 2" xfId="1421" xr:uid="{00000000-0005-0000-0000-000091050000}"/>
    <cellStyle name="Примечание 2 4 3 6 3" xfId="1422" xr:uid="{00000000-0005-0000-0000-000092050000}"/>
    <cellStyle name="Примечание 2 4 3 7" xfId="1423" xr:uid="{00000000-0005-0000-0000-000093050000}"/>
    <cellStyle name="Примечание 2 4 3 7 2" xfId="1424" xr:uid="{00000000-0005-0000-0000-000094050000}"/>
    <cellStyle name="Примечание 2 4 3 7 3" xfId="1425" xr:uid="{00000000-0005-0000-0000-000095050000}"/>
    <cellStyle name="Примечание 2 4 3 8" xfId="1426" xr:uid="{00000000-0005-0000-0000-000096050000}"/>
    <cellStyle name="Примечание 2 4 3 9" xfId="1427" xr:uid="{00000000-0005-0000-0000-000097050000}"/>
    <cellStyle name="Примечание 2 4 4" xfId="1428" xr:uid="{00000000-0005-0000-0000-000098050000}"/>
    <cellStyle name="Примечание 2 4 4 2" xfId="1429" xr:uid="{00000000-0005-0000-0000-000099050000}"/>
    <cellStyle name="Примечание 2 4 4 2 2" xfId="1430" xr:uid="{00000000-0005-0000-0000-00009A050000}"/>
    <cellStyle name="Примечание 2 4 4 2 2 2" xfId="1431" xr:uid="{00000000-0005-0000-0000-00009B050000}"/>
    <cellStyle name="Примечание 2 4 4 2 2 3" xfId="1432" xr:uid="{00000000-0005-0000-0000-00009C050000}"/>
    <cellStyle name="Примечание 2 4 4 2 3" xfId="1433" xr:uid="{00000000-0005-0000-0000-00009D050000}"/>
    <cellStyle name="Примечание 2 4 4 2 3 2" xfId="1434" xr:uid="{00000000-0005-0000-0000-00009E050000}"/>
    <cellStyle name="Примечание 2 4 4 2 3 3" xfId="1435" xr:uid="{00000000-0005-0000-0000-00009F050000}"/>
    <cellStyle name="Примечание 2 4 4 2 4" xfId="1436" xr:uid="{00000000-0005-0000-0000-0000A0050000}"/>
    <cellStyle name="Примечание 2 4 4 2 4 2" xfId="1437" xr:uid="{00000000-0005-0000-0000-0000A1050000}"/>
    <cellStyle name="Примечание 2 4 4 2 4 3" xfId="1438" xr:uid="{00000000-0005-0000-0000-0000A2050000}"/>
    <cellStyle name="Примечание 2 4 4 2 5" xfId="1439" xr:uid="{00000000-0005-0000-0000-0000A3050000}"/>
    <cellStyle name="Примечание 2 4 4 2 6" xfId="1440" xr:uid="{00000000-0005-0000-0000-0000A4050000}"/>
    <cellStyle name="Примечание 2 4 4 3" xfId="1441" xr:uid="{00000000-0005-0000-0000-0000A5050000}"/>
    <cellStyle name="Примечание 2 4 4 3 2" xfId="1442" xr:uid="{00000000-0005-0000-0000-0000A6050000}"/>
    <cellStyle name="Примечание 2 4 4 3 2 2" xfId="1443" xr:uid="{00000000-0005-0000-0000-0000A7050000}"/>
    <cellStyle name="Примечание 2 4 4 3 2 3" xfId="1444" xr:uid="{00000000-0005-0000-0000-0000A8050000}"/>
    <cellStyle name="Примечание 2 4 4 3 3" xfId="1445" xr:uid="{00000000-0005-0000-0000-0000A9050000}"/>
    <cellStyle name="Примечание 2 4 4 3 3 2" xfId="1446" xr:uid="{00000000-0005-0000-0000-0000AA050000}"/>
    <cellStyle name="Примечание 2 4 4 3 3 3" xfId="1447" xr:uid="{00000000-0005-0000-0000-0000AB050000}"/>
    <cellStyle name="Примечание 2 4 4 3 4" xfId="1448" xr:uid="{00000000-0005-0000-0000-0000AC050000}"/>
    <cellStyle name="Примечание 2 4 4 3 4 2" xfId="1449" xr:uid="{00000000-0005-0000-0000-0000AD050000}"/>
    <cellStyle name="Примечание 2 4 4 3 4 3" xfId="1450" xr:uid="{00000000-0005-0000-0000-0000AE050000}"/>
    <cellStyle name="Примечание 2 4 4 3 5" xfId="1451" xr:uid="{00000000-0005-0000-0000-0000AF050000}"/>
    <cellStyle name="Примечание 2 4 4 3 6" xfId="1452" xr:uid="{00000000-0005-0000-0000-0000B0050000}"/>
    <cellStyle name="Примечание 2 4 4 4" xfId="1453" xr:uid="{00000000-0005-0000-0000-0000B1050000}"/>
    <cellStyle name="Примечание 2 4 4 4 2" xfId="1454" xr:uid="{00000000-0005-0000-0000-0000B2050000}"/>
    <cellStyle name="Примечание 2 4 4 4 2 2" xfId="1455" xr:uid="{00000000-0005-0000-0000-0000B3050000}"/>
    <cellStyle name="Примечание 2 4 4 4 2 3" xfId="1456" xr:uid="{00000000-0005-0000-0000-0000B4050000}"/>
    <cellStyle name="Примечание 2 4 4 4 3" xfId="1457" xr:uid="{00000000-0005-0000-0000-0000B5050000}"/>
    <cellStyle name="Примечание 2 4 4 4 3 2" xfId="1458" xr:uid="{00000000-0005-0000-0000-0000B6050000}"/>
    <cellStyle name="Примечание 2 4 4 4 3 3" xfId="1459" xr:uid="{00000000-0005-0000-0000-0000B7050000}"/>
    <cellStyle name="Примечание 2 4 4 4 4" xfId="1460" xr:uid="{00000000-0005-0000-0000-0000B8050000}"/>
    <cellStyle name="Примечание 2 4 4 4 4 2" xfId="1461" xr:uid="{00000000-0005-0000-0000-0000B9050000}"/>
    <cellStyle name="Примечание 2 4 4 4 4 3" xfId="1462" xr:uid="{00000000-0005-0000-0000-0000BA050000}"/>
    <cellStyle name="Примечание 2 4 4 4 5" xfId="1463" xr:uid="{00000000-0005-0000-0000-0000BB050000}"/>
    <cellStyle name="Примечание 2 4 4 4 6" xfId="1464" xr:uid="{00000000-0005-0000-0000-0000BC050000}"/>
    <cellStyle name="Примечание 2 4 4 5" xfId="1465" xr:uid="{00000000-0005-0000-0000-0000BD050000}"/>
    <cellStyle name="Примечание 2 4 4 5 2" xfId="1466" xr:uid="{00000000-0005-0000-0000-0000BE050000}"/>
    <cellStyle name="Примечание 2 4 4 5 3" xfId="1467" xr:uid="{00000000-0005-0000-0000-0000BF050000}"/>
    <cellStyle name="Примечание 2 4 4 6" xfId="1468" xr:uid="{00000000-0005-0000-0000-0000C0050000}"/>
    <cellStyle name="Примечание 2 4 4 6 2" xfId="1469" xr:uid="{00000000-0005-0000-0000-0000C1050000}"/>
    <cellStyle name="Примечание 2 4 4 6 3" xfId="1470" xr:uid="{00000000-0005-0000-0000-0000C2050000}"/>
    <cellStyle name="Примечание 2 4 4 7" xfId="1471" xr:uid="{00000000-0005-0000-0000-0000C3050000}"/>
    <cellStyle name="Примечание 2 4 4 7 2" xfId="1472" xr:uid="{00000000-0005-0000-0000-0000C4050000}"/>
    <cellStyle name="Примечание 2 4 4 7 3" xfId="1473" xr:uid="{00000000-0005-0000-0000-0000C5050000}"/>
    <cellStyle name="Примечание 2 4 4 8" xfId="1474" xr:uid="{00000000-0005-0000-0000-0000C6050000}"/>
    <cellStyle name="Примечание 2 4 4 9" xfId="1475" xr:uid="{00000000-0005-0000-0000-0000C7050000}"/>
    <cellStyle name="Примечание 2 4 5" xfId="1476" xr:uid="{00000000-0005-0000-0000-0000C8050000}"/>
    <cellStyle name="Примечание 2 4 5 2" xfId="1477" xr:uid="{00000000-0005-0000-0000-0000C9050000}"/>
    <cellStyle name="Примечание 2 4 5 2 2" xfId="1478" xr:uid="{00000000-0005-0000-0000-0000CA050000}"/>
    <cellStyle name="Примечание 2 4 5 2 3" xfId="1479" xr:uid="{00000000-0005-0000-0000-0000CB050000}"/>
    <cellStyle name="Примечание 2 4 5 3" xfId="1480" xr:uid="{00000000-0005-0000-0000-0000CC050000}"/>
    <cellStyle name="Примечание 2 4 5 3 2" xfId="1481" xr:uid="{00000000-0005-0000-0000-0000CD050000}"/>
    <cellStyle name="Примечание 2 4 5 3 3" xfId="1482" xr:uid="{00000000-0005-0000-0000-0000CE050000}"/>
    <cellStyle name="Примечание 2 4 5 4" xfId="1483" xr:uid="{00000000-0005-0000-0000-0000CF050000}"/>
    <cellStyle name="Примечание 2 4 5 4 2" xfId="1484" xr:uid="{00000000-0005-0000-0000-0000D0050000}"/>
    <cellStyle name="Примечание 2 4 5 4 3" xfId="1485" xr:uid="{00000000-0005-0000-0000-0000D1050000}"/>
    <cellStyle name="Примечание 2 4 5 5" xfId="1486" xr:uid="{00000000-0005-0000-0000-0000D2050000}"/>
    <cellStyle name="Примечание 2 4 5 6" xfId="1487" xr:uid="{00000000-0005-0000-0000-0000D3050000}"/>
    <cellStyle name="Примечание 2 4 6" xfId="1488" xr:uid="{00000000-0005-0000-0000-0000D4050000}"/>
    <cellStyle name="Примечание 2 4 6 2" xfId="1489" xr:uid="{00000000-0005-0000-0000-0000D5050000}"/>
    <cellStyle name="Примечание 2 4 6 2 2" xfId="1490" xr:uid="{00000000-0005-0000-0000-0000D6050000}"/>
    <cellStyle name="Примечание 2 4 6 2 3" xfId="1491" xr:uid="{00000000-0005-0000-0000-0000D7050000}"/>
    <cellStyle name="Примечание 2 4 6 3" xfId="1492" xr:uid="{00000000-0005-0000-0000-0000D8050000}"/>
    <cellStyle name="Примечание 2 4 6 3 2" xfId="1493" xr:uid="{00000000-0005-0000-0000-0000D9050000}"/>
    <cellStyle name="Примечание 2 4 6 3 3" xfId="1494" xr:uid="{00000000-0005-0000-0000-0000DA050000}"/>
    <cellStyle name="Примечание 2 4 6 4" xfId="1495" xr:uid="{00000000-0005-0000-0000-0000DB050000}"/>
    <cellStyle name="Примечание 2 4 6 4 2" xfId="1496" xr:uid="{00000000-0005-0000-0000-0000DC050000}"/>
    <cellStyle name="Примечание 2 4 6 4 3" xfId="1497" xr:uid="{00000000-0005-0000-0000-0000DD050000}"/>
    <cellStyle name="Примечание 2 4 6 5" xfId="1498" xr:uid="{00000000-0005-0000-0000-0000DE050000}"/>
    <cellStyle name="Примечание 2 4 6 6" xfId="1499" xr:uid="{00000000-0005-0000-0000-0000DF050000}"/>
    <cellStyle name="Примечание 2 4 7" xfId="1500" xr:uid="{00000000-0005-0000-0000-0000E0050000}"/>
    <cellStyle name="Примечание 2 4 7 2" xfId="1501" xr:uid="{00000000-0005-0000-0000-0000E1050000}"/>
    <cellStyle name="Примечание 2 4 7 2 2" xfId="1502" xr:uid="{00000000-0005-0000-0000-0000E2050000}"/>
    <cellStyle name="Примечание 2 4 7 2 3" xfId="1503" xr:uid="{00000000-0005-0000-0000-0000E3050000}"/>
    <cellStyle name="Примечание 2 4 7 3" xfId="1504" xr:uid="{00000000-0005-0000-0000-0000E4050000}"/>
    <cellStyle name="Примечание 2 4 7 3 2" xfId="1505" xr:uid="{00000000-0005-0000-0000-0000E5050000}"/>
    <cellStyle name="Примечание 2 4 7 3 3" xfId="1506" xr:uid="{00000000-0005-0000-0000-0000E6050000}"/>
    <cellStyle name="Примечание 2 4 7 4" xfId="1507" xr:uid="{00000000-0005-0000-0000-0000E7050000}"/>
    <cellStyle name="Примечание 2 4 7 4 2" xfId="1508" xr:uid="{00000000-0005-0000-0000-0000E8050000}"/>
    <cellStyle name="Примечание 2 4 7 4 3" xfId="1509" xr:uid="{00000000-0005-0000-0000-0000E9050000}"/>
    <cellStyle name="Примечание 2 4 7 5" xfId="1510" xr:uid="{00000000-0005-0000-0000-0000EA050000}"/>
    <cellStyle name="Примечание 2 4 7 6" xfId="1511" xr:uid="{00000000-0005-0000-0000-0000EB050000}"/>
    <cellStyle name="Примечание 2 4 8" xfId="1512" xr:uid="{00000000-0005-0000-0000-0000EC050000}"/>
    <cellStyle name="Примечание 2 4 8 2" xfId="1513" xr:uid="{00000000-0005-0000-0000-0000ED050000}"/>
    <cellStyle name="Примечание 2 4 8 3" xfId="1514" xr:uid="{00000000-0005-0000-0000-0000EE050000}"/>
    <cellStyle name="Примечание 2 4 9" xfId="1515" xr:uid="{00000000-0005-0000-0000-0000EF050000}"/>
    <cellStyle name="Примечание 2 4 9 2" xfId="1516" xr:uid="{00000000-0005-0000-0000-0000F0050000}"/>
    <cellStyle name="Примечание 2 4 9 3" xfId="1517" xr:uid="{00000000-0005-0000-0000-0000F1050000}"/>
    <cellStyle name="Примечание 2 5" xfId="1518" xr:uid="{00000000-0005-0000-0000-0000F2050000}"/>
    <cellStyle name="Примечание 2 5 10" xfId="1519" xr:uid="{00000000-0005-0000-0000-0000F3050000}"/>
    <cellStyle name="Примечание 2 5 10 2" xfId="1520" xr:uid="{00000000-0005-0000-0000-0000F4050000}"/>
    <cellStyle name="Примечание 2 5 10 3" xfId="1521" xr:uid="{00000000-0005-0000-0000-0000F5050000}"/>
    <cellStyle name="Примечание 2 5 11" xfId="1522" xr:uid="{00000000-0005-0000-0000-0000F6050000}"/>
    <cellStyle name="Примечание 2 5 12" xfId="1523" xr:uid="{00000000-0005-0000-0000-0000F7050000}"/>
    <cellStyle name="Примечание 2 5 2" xfId="1524" xr:uid="{00000000-0005-0000-0000-0000F8050000}"/>
    <cellStyle name="Примечание 2 5 2 2" xfId="1525" xr:uid="{00000000-0005-0000-0000-0000F9050000}"/>
    <cellStyle name="Примечание 2 5 2 2 2" xfId="1526" xr:uid="{00000000-0005-0000-0000-0000FA050000}"/>
    <cellStyle name="Примечание 2 5 2 2 2 2" xfId="1527" xr:uid="{00000000-0005-0000-0000-0000FB050000}"/>
    <cellStyle name="Примечание 2 5 2 2 2 3" xfId="1528" xr:uid="{00000000-0005-0000-0000-0000FC050000}"/>
    <cellStyle name="Примечание 2 5 2 2 3" xfId="1529" xr:uid="{00000000-0005-0000-0000-0000FD050000}"/>
    <cellStyle name="Примечание 2 5 2 2 3 2" xfId="1530" xr:uid="{00000000-0005-0000-0000-0000FE050000}"/>
    <cellStyle name="Примечание 2 5 2 2 3 3" xfId="1531" xr:uid="{00000000-0005-0000-0000-0000FF050000}"/>
    <cellStyle name="Примечание 2 5 2 2 4" xfId="1532" xr:uid="{00000000-0005-0000-0000-000000060000}"/>
    <cellStyle name="Примечание 2 5 2 2 4 2" xfId="1533" xr:uid="{00000000-0005-0000-0000-000001060000}"/>
    <cellStyle name="Примечание 2 5 2 2 4 3" xfId="1534" xr:uid="{00000000-0005-0000-0000-000002060000}"/>
    <cellStyle name="Примечание 2 5 2 2 5" xfId="1535" xr:uid="{00000000-0005-0000-0000-000003060000}"/>
    <cellStyle name="Примечание 2 5 2 2 6" xfId="1536" xr:uid="{00000000-0005-0000-0000-000004060000}"/>
    <cellStyle name="Примечание 2 5 2 3" xfId="1537" xr:uid="{00000000-0005-0000-0000-000005060000}"/>
    <cellStyle name="Примечание 2 5 2 3 2" xfId="1538" xr:uid="{00000000-0005-0000-0000-000006060000}"/>
    <cellStyle name="Примечание 2 5 2 3 2 2" xfId="1539" xr:uid="{00000000-0005-0000-0000-000007060000}"/>
    <cellStyle name="Примечание 2 5 2 3 2 3" xfId="1540" xr:uid="{00000000-0005-0000-0000-000008060000}"/>
    <cellStyle name="Примечание 2 5 2 3 3" xfId="1541" xr:uid="{00000000-0005-0000-0000-000009060000}"/>
    <cellStyle name="Примечание 2 5 2 3 3 2" xfId="1542" xr:uid="{00000000-0005-0000-0000-00000A060000}"/>
    <cellStyle name="Примечание 2 5 2 3 3 3" xfId="1543" xr:uid="{00000000-0005-0000-0000-00000B060000}"/>
    <cellStyle name="Примечание 2 5 2 3 4" xfId="1544" xr:uid="{00000000-0005-0000-0000-00000C060000}"/>
    <cellStyle name="Примечание 2 5 2 3 4 2" xfId="1545" xr:uid="{00000000-0005-0000-0000-00000D060000}"/>
    <cellStyle name="Примечание 2 5 2 3 4 3" xfId="1546" xr:uid="{00000000-0005-0000-0000-00000E060000}"/>
    <cellStyle name="Примечание 2 5 2 3 5" xfId="1547" xr:uid="{00000000-0005-0000-0000-00000F060000}"/>
    <cellStyle name="Примечание 2 5 2 3 6" xfId="1548" xr:uid="{00000000-0005-0000-0000-000010060000}"/>
    <cellStyle name="Примечание 2 5 2 4" xfId="1549" xr:uid="{00000000-0005-0000-0000-000011060000}"/>
    <cellStyle name="Примечание 2 5 2 4 2" xfId="1550" xr:uid="{00000000-0005-0000-0000-000012060000}"/>
    <cellStyle name="Примечание 2 5 2 4 2 2" xfId="1551" xr:uid="{00000000-0005-0000-0000-000013060000}"/>
    <cellStyle name="Примечание 2 5 2 4 2 3" xfId="1552" xr:uid="{00000000-0005-0000-0000-000014060000}"/>
    <cellStyle name="Примечание 2 5 2 4 3" xfId="1553" xr:uid="{00000000-0005-0000-0000-000015060000}"/>
    <cellStyle name="Примечание 2 5 2 4 3 2" xfId="1554" xr:uid="{00000000-0005-0000-0000-000016060000}"/>
    <cellStyle name="Примечание 2 5 2 4 3 3" xfId="1555" xr:uid="{00000000-0005-0000-0000-000017060000}"/>
    <cellStyle name="Примечание 2 5 2 4 4" xfId="1556" xr:uid="{00000000-0005-0000-0000-000018060000}"/>
    <cellStyle name="Примечание 2 5 2 4 4 2" xfId="1557" xr:uid="{00000000-0005-0000-0000-000019060000}"/>
    <cellStyle name="Примечание 2 5 2 4 4 3" xfId="1558" xr:uid="{00000000-0005-0000-0000-00001A060000}"/>
    <cellStyle name="Примечание 2 5 2 4 5" xfId="1559" xr:uid="{00000000-0005-0000-0000-00001B060000}"/>
    <cellStyle name="Примечание 2 5 2 4 6" xfId="1560" xr:uid="{00000000-0005-0000-0000-00001C060000}"/>
    <cellStyle name="Примечание 2 5 2 5" xfId="1561" xr:uid="{00000000-0005-0000-0000-00001D060000}"/>
    <cellStyle name="Примечание 2 5 2 5 2" xfId="1562" xr:uid="{00000000-0005-0000-0000-00001E060000}"/>
    <cellStyle name="Примечание 2 5 2 5 3" xfId="1563" xr:uid="{00000000-0005-0000-0000-00001F060000}"/>
    <cellStyle name="Примечание 2 5 2 6" xfId="1564" xr:uid="{00000000-0005-0000-0000-000020060000}"/>
    <cellStyle name="Примечание 2 5 2 6 2" xfId="1565" xr:uid="{00000000-0005-0000-0000-000021060000}"/>
    <cellStyle name="Примечание 2 5 2 6 3" xfId="1566" xr:uid="{00000000-0005-0000-0000-000022060000}"/>
    <cellStyle name="Примечание 2 5 2 7" xfId="1567" xr:uid="{00000000-0005-0000-0000-000023060000}"/>
    <cellStyle name="Примечание 2 5 2 7 2" xfId="1568" xr:uid="{00000000-0005-0000-0000-000024060000}"/>
    <cellStyle name="Примечание 2 5 2 7 3" xfId="1569" xr:uid="{00000000-0005-0000-0000-000025060000}"/>
    <cellStyle name="Примечание 2 5 2 8" xfId="1570" xr:uid="{00000000-0005-0000-0000-000026060000}"/>
    <cellStyle name="Примечание 2 5 2 9" xfId="1571" xr:uid="{00000000-0005-0000-0000-000027060000}"/>
    <cellStyle name="Примечание 2 5 3" xfId="1572" xr:uid="{00000000-0005-0000-0000-000028060000}"/>
    <cellStyle name="Примечание 2 5 3 2" xfId="1573" xr:uid="{00000000-0005-0000-0000-000029060000}"/>
    <cellStyle name="Примечание 2 5 3 2 2" xfId="1574" xr:uid="{00000000-0005-0000-0000-00002A060000}"/>
    <cellStyle name="Примечание 2 5 3 2 2 2" xfId="1575" xr:uid="{00000000-0005-0000-0000-00002B060000}"/>
    <cellStyle name="Примечание 2 5 3 2 2 3" xfId="1576" xr:uid="{00000000-0005-0000-0000-00002C060000}"/>
    <cellStyle name="Примечание 2 5 3 2 3" xfId="1577" xr:uid="{00000000-0005-0000-0000-00002D060000}"/>
    <cellStyle name="Примечание 2 5 3 2 3 2" xfId="1578" xr:uid="{00000000-0005-0000-0000-00002E060000}"/>
    <cellStyle name="Примечание 2 5 3 2 3 3" xfId="1579" xr:uid="{00000000-0005-0000-0000-00002F060000}"/>
    <cellStyle name="Примечание 2 5 3 2 4" xfId="1580" xr:uid="{00000000-0005-0000-0000-000030060000}"/>
    <cellStyle name="Примечание 2 5 3 2 4 2" xfId="1581" xr:uid="{00000000-0005-0000-0000-000031060000}"/>
    <cellStyle name="Примечание 2 5 3 2 4 3" xfId="1582" xr:uid="{00000000-0005-0000-0000-000032060000}"/>
    <cellStyle name="Примечание 2 5 3 2 5" xfId="1583" xr:uid="{00000000-0005-0000-0000-000033060000}"/>
    <cellStyle name="Примечание 2 5 3 2 6" xfId="1584" xr:uid="{00000000-0005-0000-0000-000034060000}"/>
    <cellStyle name="Примечание 2 5 3 3" xfId="1585" xr:uid="{00000000-0005-0000-0000-000035060000}"/>
    <cellStyle name="Примечание 2 5 3 3 2" xfId="1586" xr:uid="{00000000-0005-0000-0000-000036060000}"/>
    <cellStyle name="Примечание 2 5 3 3 2 2" xfId="1587" xr:uid="{00000000-0005-0000-0000-000037060000}"/>
    <cellStyle name="Примечание 2 5 3 3 2 3" xfId="1588" xr:uid="{00000000-0005-0000-0000-000038060000}"/>
    <cellStyle name="Примечание 2 5 3 3 3" xfId="1589" xr:uid="{00000000-0005-0000-0000-000039060000}"/>
    <cellStyle name="Примечание 2 5 3 3 3 2" xfId="1590" xr:uid="{00000000-0005-0000-0000-00003A060000}"/>
    <cellStyle name="Примечание 2 5 3 3 3 3" xfId="1591" xr:uid="{00000000-0005-0000-0000-00003B060000}"/>
    <cellStyle name="Примечание 2 5 3 3 4" xfId="1592" xr:uid="{00000000-0005-0000-0000-00003C060000}"/>
    <cellStyle name="Примечание 2 5 3 3 4 2" xfId="1593" xr:uid="{00000000-0005-0000-0000-00003D060000}"/>
    <cellStyle name="Примечание 2 5 3 3 4 3" xfId="1594" xr:uid="{00000000-0005-0000-0000-00003E060000}"/>
    <cellStyle name="Примечание 2 5 3 3 5" xfId="1595" xr:uid="{00000000-0005-0000-0000-00003F060000}"/>
    <cellStyle name="Примечание 2 5 3 3 6" xfId="1596" xr:uid="{00000000-0005-0000-0000-000040060000}"/>
    <cellStyle name="Примечание 2 5 3 4" xfId="1597" xr:uid="{00000000-0005-0000-0000-000041060000}"/>
    <cellStyle name="Примечание 2 5 3 4 2" xfId="1598" xr:uid="{00000000-0005-0000-0000-000042060000}"/>
    <cellStyle name="Примечание 2 5 3 4 2 2" xfId="1599" xr:uid="{00000000-0005-0000-0000-000043060000}"/>
    <cellStyle name="Примечание 2 5 3 4 2 3" xfId="1600" xr:uid="{00000000-0005-0000-0000-000044060000}"/>
    <cellStyle name="Примечание 2 5 3 4 3" xfId="1601" xr:uid="{00000000-0005-0000-0000-000045060000}"/>
    <cellStyle name="Примечание 2 5 3 4 3 2" xfId="1602" xr:uid="{00000000-0005-0000-0000-000046060000}"/>
    <cellStyle name="Примечание 2 5 3 4 3 3" xfId="1603" xr:uid="{00000000-0005-0000-0000-000047060000}"/>
    <cellStyle name="Примечание 2 5 3 4 4" xfId="1604" xr:uid="{00000000-0005-0000-0000-000048060000}"/>
    <cellStyle name="Примечание 2 5 3 4 4 2" xfId="1605" xr:uid="{00000000-0005-0000-0000-000049060000}"/>
    <cellStyle name="Примечание 2 5 3 4 4 3" xfId="1606" xr:uid="{00000000-0005-0000-0000-00004A060000}"/>
    <cellStyle name="Примечание 2 5 3 4 5" xfId="1607" xr:uid="{00000000-0005-0000-0000-00004B060000}"/>
    <cellStyle name="Примечание 2 5 3 4 6" xfId="1608" xr:uid="{00000000-0005-0000-0000-00004C060000}"/>
    <cellStyle name="Примечание 2 5 3 5" xfId="1609" xr:uid="{00000000-0005-0000-0000-00004D060000}"/>
    <cellStyle name="Примечание 2 5 3 5 2" xfId="1610" xr:uid="{00000000-0005-0000-0000-00004E060000}"/>
    <cellStyle name="Примечание 2 5 3 5 3" xfId="1611" xr:uid="{00000000-0005-0000-0000-00004F060000}"/>
    <cellStyle name="Примечание 2 5 3 6" xfId="1612" xr:uid="{00000000-0005-0000-0000-000050060000}"/>
    <cellStyle name="Примечание 2 5 3 6 2" xfId="1613" xr:uid="{00000000-0005-0000-0000-000051060000}"/>
    <cellStyle name="Примечание 2 5 3 6 3" xfId="1614" xr:uid="{00000000-0005-0000-0000-000052060000}"/>
    <cellStyle name="Примечание 2 5 3 7" xfId="1615" xr:uid="{00000000-0005-0000-0000-000053060000}"/>
    <cellStyle name="Примечание 2 5 3 7 2" xfId="1616" xr:uid="{00000000-0005-0000-0000-000054060000}"/>
    <cellStyle name="Примечание 2 5 3 7 3" xfId="1617" xr:uid="{00000000-0005-0000-0000-000055060000}"/>
    <cellStyle name="Примечание 2 5 3 8" xfId="1618" xr:uid="{00000000-0005-0000-0000-000056060000}"/>
    <cellStyle name="Примечание 2 5 3 9" xfId="1619" xr:uid="{00000000-0005-0000-0000-000057060000}"/>
    <cellStyle name="Примечание 2 5 4" xfId="1620" xr:uid="{00000000-0005-0000-0000-000058060000}"/>
    <cellStyle name="Примечание 2 5 4 2" xfId="1621" xr:uid="{00000000-0005-0000-0000-000059060000}"/>
    <cellStyle name="Примечание 2 5 4 2 2" xfId="1622" xr:uid="{00000000-0005-0000-0000-00005A060000}"/>
    <cellStyle name="Примечание 2 5 4 2 2 2" xfId="1623" xr:uid="{00000000-0005-0000-0000-00005B060000}"/>
    <cellStyle name="Примечание 2 5 4 2 2 3" xfId="1624" xr:uid="{00000000-0005-0000-0000-00005C060000}"/>
    <cellStyle name="Примечание 2 5 4 2 3" xfId="1625" xr:uid="{00000000-0005-0000-0000-00005D060000}"/>
    <cellStyle name="Примечание 2 5 4 2 3 2" xfId="1626" xr:uid="{00000000-0005-0000-0000-00005E060000}"/>
    <cellStyle name="Примечание 2 5 4 2 3 3" xfId="1627" xr:uid="{00000000-0005-0000-0000-00005F060000}"/>
    <cellStyle name="Примечание 2 5 4 2 4" xfId="1628" xr:uid="{00000000-0005-0000-0000-000060060000}"/>
    <cellStyle name="Примечание 2 5 4 2 4 2" xfId="1629" xr:uid="{00000000-0005-0000-0000-000061060000}"/>
    <cellStyle name="Примечание 2 5 4 2 4 3" xfId="1630" xr:uid="{00000000-0005-0000-0000-000062060000}"/>
    <cellStyle name="Примечание 2 5 4 2 5" xfId="1631" xr:uid="{00000000-0005-0000-0000-000063060000}"/>
    <cellStyle name="Примечание 2 5 4 2 6" xfId="1632" xr:uid="{00000000-0005-0000-0000-000064060000}"/>
    <cellStyle name="Примечание 2 5 4 3" xfId="1633" xr:uid="{00000000-0005-0000-0000-000065060000}"/>
    <cellStyle name="Примечание 2 5 4 3 2" xfId="1634" xr:uid="{00000000-0005-0000-0000-000066060000}"/>
    <cellStyle name="Примечание 2 5 4 3 2 2" xfId="1635" xr:uid="{00000000-0005-0000-0000-000067060000}"/>
    <cellStyle name="Примечание 2 5 4 3 2 3" xfId="1636" xr:uid="{00000000-0005-0000-0000-000068060000}"/>
    <cellStyle name="Примечание 2 5 4 3 3" xfId="1637" xr:uid="{00000000-0005-0000-0000-000069060000}"/>
    <cellStyle name="Примечание 2 5 4 3 3 2" xfId="1638" xr:uid="{00000000-0005-0000-0000-00006A060000}"/>
    <cellStyle name="Примечание 2 5 4 3 3 3" xfId="1639" xr:uid="{00000000-0005-0000-0000-00006B060000}"/>
    <cellStyle name="Примечание 2 5 4 3 4" xfId="1640" xr:uid="{00000000-0005-0000-0000-00006C060000}"/>
    <cellStyle name="Примечание 2 5 4 3 4 2" xfId="1641" xr:uid="{00000000-0005-0000-0000-00006D060000}"/>
    <cellStyle name="Примечание 2 5 4 3 4 3" xfId="1642" xr:uid="{00000000-0005-0000-0000-00006E060000}"/>
    <cellStyle name="Примечание 2 5 4 3 5" xfId="1643" xr:uid="{00000000-0005-0000-0000-00006F060000}"/>
    <cellStyle name="Примечание 2 5 4 3 6" xfId="1644" xr:uid="{00000000-0005-0000-0000-000070060000}"/>
    <cellStyle name="Примечание 2 5 4 4" xfId="1645" xr:uid="{00000000-0005-0000-0000-000071060000}"/>
    <cellStyle name="Примечание 2 5 4 4 2" xfId="1646" xr:uid="{00000000-0005-0000-0000-000072060000}"/>
    <cellStyle name="Примечание 2 5 4 4 2 2" xfId="1647" xr:uid="{00000000-0005-0000-0000-000073060000}"/>
    <cellStyle name="Примечание 2 5 4 4 2 3" xfId="1648" xr:uid="{00000000-0005-0000-0000-000074060000}"/>
    <cellStyle name="Примечание 2 5 4 4 3" xfId="1649" xr:uid="{00000000-0005-0000-0000-000075060000}"/>
    <cellStyle name="Примечание 2 5 4 4 3 2" xfId="1650" xr:uid="{00000000-0005-0000-0000-000076060000}"/>
    <cellStyle name="Примечание 2 5 4 4 3 3" xfId="1651" xr:uid="{00000000-0005-0000-0000-000077060000}"/>
    <cellStyle name="Примечание 2 5 4 4 4" xfId="1652" xr:uid="{00000000-0005-0000-0000-000078060000}"/>
    <cellStyle name="Примечание 2 5 4 4 4 2" xfId="1653" xr:uid="{00000000-0005-0000-0000-000079060000}"/>
    <cellStyle name="Примечание 2 5 4 4 4 3" xfId="1654" xr:uid="{00000000-0005-0000-0000-00007A060000}"/>
    <cellStyle name="Примечание 2 5 4 4 5" xfId="1655" xr:uid="{00000000-0005-0000-0000-00007B060000}"/>
    <cellStyle name="Примечание 2 5 4 4 6" xfId="1656" xr:uid="{00000000-0005-0000-0000-00007C060000}"/>
    <cellStyle name="Примечание 2 5 4 5" xfId="1657" xr:uid="{00000000-0005-0000-0000-00007D060000}"/>
    <cellStyle name="Примечание 2 5 4 5 2" xfId="1658" xr:uid="{00000000-0005-0000-0000-00007E060000}"/>
    <cellStyle name="Примечание 2 5 4 5 3" xfId="1659" xr:uid="{00000000-0005-0000-0000-00007F060000}"/>
    <cellStyle name="Примечание 2 5 4 6" xfId="1660" xr:uid="{00000000-0005-0000-0000-000080060000}"/>
    <cellStyle name="Примечание 2 5 4 6 2" xfId="1661" xr:uid="{00000000-0005-0000-0000-000081060000}"/>
    <cellStyle name="Примечание 2 5 4 6 3" xfId="1662" xr:uid="{00000000-0005-0000-0000-000082060000}"/>
    <cellStyle name="Примечание 2 5 4 7" xfId="1663" xr:uid="{00000000-0005-0000-0000-000083060000}"/>
    <cellStyle name="Примечание 2 5 4 7 2" xfId="1664" xr:uid="{00000000-0005-0000-0000-000084060000}"/>
    <cellStyle name="Примечание 2 5 4 7 3" xfId="1665" xr:uid="{00000000-0005-0000-0000-000085060000}"/>
    <cellStyle name="Примечание 2 5 4 8" xfId="1666" xr:uid="{00000000-0005-0000-0000-000086060000}"/>
    <cellStyle name="Примечание 2 5 4 9" xfId="1667" xr:uid="{00000000-0005-0000-0000-000087060000}"/>
    <cellStyle name="Примечание 2 5 5" xfId="1668" xr:uid="{00000000-0005-0000-0000-000088060000}"/>
    <cellStyle name="Примечание 2 5 5 2" xfId="1669" xr:uid="{00000000-0005-0000-0000-000089060000}"/>
    <cellStyle name="Примечание 2 5 5 2 2" xfId="1670" xr:uid="{00000000-0005-0000-0000-00008A060000}"/>
    <cellStyle name="Примечание 2 5 5 2 3" xfId="1671" xr:uid="{00000000-0005-0000-0000-00008B060000}"/>
    <cellStyle name="Примечание 2 5 5 3" xfId="1672" xr:uid="{00000000-0005-0000-0000-00008C060000}"/>
    <cellStyle name="Примечание 2 5 5 3 2" xfId="1673" xr:uid="{00000000-0005-0000-0000-00008D060000}"/>
    <cellStyle name="Примечание 2 5 5 3 3" xfId="1674" xr:uid="{00000000-0005-0000-0000-00008E060000}"/>
    <cellStyle name="Примечание 2 5 5 4" xfId="1675" xr:uid="{00000000-0005-0000-0000-00008F060000}"/>
    <cellStyle name="Примечание 2 5 5 4 2" xfId="1676" xr:uid="{00000000-0005-0000-0000-000090060000}"/>
    <cellStyle name="Примечание 2 5 5 4 3" xfId="1677" xr:uid="{00000000-0005-0000-0000-000091060000}"/>
    <cellStyle name="Примечание 2 5 5 5" xfId="1678" xr:uid="{00000000-0005-0000-0000-000092060000}"/>
    <cellStyle name="Примечание 2 5 5 6" xfId="1679" xr:uid="{00000000-0005-0000-0000-000093060000}"/>
    <cellStyle name="Примечание 2 5 6" xfId="1680" xr:uid="{00000000-0005-0000-0000-000094060000}"/>
    <cellStyle name="Примечание 2 5 6 2" xfId="1681" xr:uid="{00000000-0005-0000-0000-000095060000}"/>
    <cellStyle name="Примечание 2 5 6 2 2" xfId="1682" xr:uid="{00000000-0005-0000-0000-000096060000}"/>
    <cellStyle name="Примечание 2 5 6 2 3" xfId="1683" xr:uid="{00000000-0005-0000-0000-000097060000}"/>
    <cellStyle name="Примечание 2 5 6 3" xfId="1684" xr:uid="{00000000-0005-0000-0000-000098060000}"/>
    <cellStyle name="Примечание 2 5 6 3 2" xfId="1685" xr:uid="{00000000-0005-0000-0000-000099060000}"/>
    <cellStyle name="Примечание 2 5 6 3 3" xfId="1686" xr:uid="{00000000-0005-0000-0000-00009A060000}"/>
    <cellStyle name="Примечание 2 5 6 4" xfId="1687" xr:uid="{00000000-0005-0000-0000-00009B060000}"/>
    <cellStyle name="Примечание 2 5 6 4 2" xfId="1688" xr:uid="{00000000-0005-0000-0000-00009C060000}"/>
    <cellStyle name="Примечание 2 5 6 4 3" xfId="1689" xr:uid="{00000000-0005-0000-0000-00009D060000}"/>
    <cellStyle name="Примечание 2 5 6 5" xfId="1690" xr:uid="{00000000-0005-0000-0000-00009E060000}"/>
    <cellStyle name="Примечание 2 5 6 6" xfId="1691" xr:uid="{00000000-0005-0000-0000-00009F060000}"/>
    <cellStyle name="Примечание 2 5 7" xfId="1692" xr:uid="{00000000-0005-0000-0000-0000A0060000}"/>
    <cellStyle name="Примечание 2 5 7 2" xfId="1693" xr:uid="{00000000-0005-0000-0000-0000A1060000}"/>
    <cellStyle name="Примечание 2 5 7 2 2" xfId="1694" xr:uid="{00000000-0005-0000-0000-0000A2060000}"/>
    <cellStyle name="Примечание 2 5 7 2 3" xfId="1695" xr:uid="{00000000-0005-0000-0000-0000A3060000}"/>
    <cellStyle name="Примечание 2 5 7 3" xfId="1696" xr:uid="{00000000-0005-0000-0000-0000A4060000}"/>
    <cellStyle name="Примечание 2 5 7 3 2" xfId="1697" xr:uid="{00000000-0005-0000-0000-0000A5060000}"/>
    <cellStyle name="Примечание 2 5 7 3 3" xfId="1698" xr:uid="{00000000-0005-0000-0000-0000A6060000}"/>
    <cellStyle name="Примечание 2 5 7 4" xfId="1699" xr:uid="{00000000-0005-0000-0000-0000A7060000}"/>
    <cellStyle name="Примечание 2 5 7 4 2" xfId="1700" xr:uid="{00000000-0005-0000-0000-0000A8060000}"/>
    <cellStyle name="Примечание 2 5 7 4 3" xfId="1701" xr:uid="{00000000-0005-0000-0000-0000A9060000}"/>
    <cellStyle name="Примечание 2 5 7 5" xfId="1702" xr:uid="{00000000-0005-0000-0000-0000AA060000}"/>
    <cellStyle name="Примечание 2 5 7 6" xfId="1703" xr:uid="{00000000-0005-0000-0000-0000AB060000}"/>
    <cellStyle name="Примечание 2 5 8" xfId="1704" xr:uid="{00000000-0005-0000-0000-0000AC060000}"/>
    <cellStyle name="Примечание 2 5 8 2" xfId="1705" xr:uid="{00000000-0005-0000-0000-0000AD060000}"/>
    <cellStyle name="Примечание 2 5 8 3" xfId="1706" xr:uid="{00000000-0005-0000-0000-0000AE060000}"/>
    <cellStyle name="Примечание 2 5 9" xfId="1707" xr:uid="{00000000-0005-0000-0000-0000AF060000}"/>
    <cellStyle name="Примечание 2 5 9 2" xfId="1708" xr:uid="{00000000-0005-0000-0000-0000B0060000}"/>
    <cellStyle name="Примечание 2 5 9 3" xfId="1709" xr:uid="{00000000-0005-0000-0000-0000B1060000}"/>
    <cellStyle name="Примечание 2 6" xfId="1710" xr:uid="{00000000-0005-0000-0000-0000B2060000}"/>
    <cellStyle name="Примечание 2 6 10" xfId="1711" xr:uid="{00000000-0005-0000-0000-0000B3060000}"/>
    <cellStyle name="Примечание 2 6 10 2" xfId="1712" xr:uid="{00000000-0005-0000-0000-0000B4060000}"/>
    <cellStyle name="Примечание 2 6 10 3" xfId="1713" xr:uid="{00000000-0005-0000-0000-0000B5060000}"/>
    <cellStyle name="Примечание 2 6 11" xfId="1714" xr:uid="{00000000-0005-0000-0000-0000B6060000}"/>
    <cellStyle name="Примечание 2 6 12" xfId="1715" xr:uid="{00000000-0005-0000-0000-0000B7060000}"/>
    <cellStyle name="Примечание 2 6 2" xfId="1716" xr:uid="{00000000-0005-0000-0000-0000B8060000}"/>
    <cellStyle name="Примечание 2 6 2 2" xfId="1717" xr:uid="{00000000-0005-0000-0000-0000B9060000}"/>
    <cellStyle name="Примечание 2 6 2 2 2" xfId="1718" xr:uid="{00000000-0005-0000-0000-0000BA060000}"/>
    <cellStyle name="Примечание 2 6 2 2 2 2" xfId="1719" xr:uid="{00000000-0005-0000-0000-0000BB060000}"/>
    <cellStyle name="Примечание 2 6 2 2 2 3" xfId="1720" xr:uid="{00000000-0005-0000-0000-0000BC060000}"/>
    <cellStyle name="Примечание 2 6 2 2 3" xfId="1721" xr:uid="{00000000-0005-0000-0000-0000BD060000}"/>
    <cellStyle name="Примечание 2 6 2 2 3 2" xfId="1722" xr:uid="{00000000-0005-0000-0000-0000BE060000}"/>
    <cellStyle name="Примечание 2 6 2 2 3 3" xfId="1723" xr:uid="{00000000-0005-0000-0000-0000BF060000}"/>
    <cellStyle name="Примечание 2 6 2 2 4" xfId="1724" xr:uid="{00000000-0005-0000-0000-0000C0060000}"/>
    <cellStyle name="Примечание 2 6 2 2 4 2" xfId="1725" xr:uid="{00000000-0005-0000-0000-0000C1060000}"/>
    <cellStyle name="Примечание 2 6 2 2 4 3" xfId="1726" xr:uid="{00000000-0005-0000-0000-0000C2060000}"/>
    <cellStyle name="Примечание 2 6 2 2 5" xfId="1727" xr:uid="{00000000-0005-0000-0000-0000C3060000}"/>
    <cellStyle name="Примечание 2 6 2 2 6" xfId="1728" xr:uid="{00000000-0005-0000-0000-0000C4060000}"/>
    <cellStyle name="Примечание 2 6 2 3" xfId="1729" xr:uid="{00000000-0005-0000-0000-0000C5060000}"/>
    <cellStyle name="Примечание 2 6 2 3 2" xfId="1730" xr:uid="{00000000-0005-0000-0000-0000C6060000}"/>
    <cellStyle name="Примечание 2 6 2 3 2 2" xfId="1731" xr:uid="{00000000-0005-0000-0000-0000C7060000}"/>
    <cellStyle name="Примечание 2 6 2 3 2 3" xfId="1732" xr:uid="{00000000-0005-0000-0000-0000C8060000}"/>
    <cellStyle name="Примечание 2 6 2 3 3" xfId="1733" xr:uid="{00000000-0005-0000-0000-0000C9060000}"/>
    <cellStyle name="Примечание 2 6 2 3 3 2" xfId="1734" xr:uid="{00000000-0005-0000-0000-0000CA060000}"/>
    <cellStyle name="Примечание 2 6 2 3 3 3" xfId="1735" xr:uid="{00000000-0005-0000-0000-0000CB060000}"/>
    <cellStyle name="Примечание 2 6 2 3 4" xfId="1736" xr:uid="{00000000-0005-0000-0000-0000CC060000}"/>
    <cellStyle name="Примечание 2 6 2 3 4 2" xfId="1737" xr:uid="{00000000-0005-0000-0000-0000CD060000}"/>
    <cellStyle name="Примечание 2 6 2 3 4 3" xfId="1738" xr:uid="{00000000-0005-0000-0000-0000CE060000}"/>
    <cellStyle name="Примечание 2 6 2 3 5" xfId="1739" xr:uid="{00000000-0005-0000-0000-0000CF060000}"/>
    <cellStyle name="Примечание 2 6 2 3 6" xfId="1740" xr:uid="{00000000-0005-0000-0000-0000D0060000}"/>
    <cellStyle name="Примечание 2 6 2 4" xfId="1741" xr:uid="{00000000-0005-0000-0000-0000D1060000}"/>
    <cellStyle name="Примечание 2 6 2 4 2" xfId="1742" xr:uid="{00000000-0005-0000-0000-0000D2060000}"/>
    <cellStyle name="Примечание 2 6 2 4 2 2" xfId="1743" xr:uid="{00000000-0005-0000-0000-0000D3060000}"/>
    <cellStyle name="Примечание 2 6 2 4 2 3" xfId="1744" xr:uid="{00000000-0005-0000-0000-0000D4060000}"/>
    <cellStyle name="Примечание 2 6 2 4 3" xfId="1745" xr:uid="{00000000-0005-0000-0000-0000D5060000}"/>
    <cellStyle name="Примечание 2 6 2 4 3 2" xfId="1746" xr:uid="{00000000-0005-0000-0000-0000D6060000}"/>
    <cellStyle name="Примечание 2 6 2 4 3 3" xfId="1747" xr:uid="{00000000-0005-0000-0000-0000D7060000}"/>
    <cellStyle name="Примечание 2 6 2 4 4" xfId="1748" xr:uid="{00000000-0005-0000-0000-0000D8060000}"/>
    <cellStyle name="Примечание 2 6 2 4 4 2" xfId="1749" xr:uid="{00000000-0005-0000-0000-0000D9060000}"/>
    <cellStyle name="Примечание 2 6 2 4 4 3" xfId="1750" xr:uid="{00000000-0005-0000-0000-0000DA060000}"/>
    <cellStyle name="Примечание 2 6 2 4 5" xfId="1751" xr:uid="{00000000-0005-0000-0000-0000DB060000}"/>
    <cellStyle name="Примечание 2 6 2 4 6" xfId="1752" xr:uid="{00000000-0005-0000-0000-0000DC060000}"/>
    <cellStyle name="Примечание 2 6 2 5" xfId="1753" xr:uid="{00000000-0005-0000-0000-0000DD060000}"/>
    <cellStyle name="Примечание 2 6 2 5 2" xfId="1754" xr:uid="{00000000-0005-0000-0000-0000DE060000}"/>
    <cellStyle name="Примечание 2 6 2 5 3" xfId="1755" xr:uid="{00000000-0005-0000-0000-0000DF060000}"/>
    <cellStyle name="Примечание 2 6 2 6" xfId="1756" xr:uid="{00000000-0005-0000-0000-0000E0060000}"/>
    <cellStyle name="Примечание 2 6 2 6 2" xfId="1757" xr:uid="{00000000-0005-0000-0000-0000E1060000}"/>
    <cellStyle name="Примечание 2 6 2 6 3" xfId="1758" xr:uid="{00000000-0005-0000-0000-0000E2060000}"/>
    <cellStyle name="Примечание 2 6 2 7" xfId="1759" xr:uid="{00000000-0005-0000-0000-0000E3060000}"/>
    <cellStyle name="Примечание 2 6 2 7 2" xfId="1760" xr:uid="{00000000-0005-0000-0000-0000E4060000}"/>
    <cellStyle name="Примечание 2 6 2 7 3" xfId="1761" xr:uid="{00000000-0005-0000-0000-0000E5060000}"/>
    <cellStyle name="Примечание 2 6 2 8" xfId="1762" xr:uid="{00000000-0005-0000-0000-0000E6060000}"/>
    <cellStyle name="Примечание 2 6 2 9" xfId="1763" xr:uid="{00000000-0005-0000-0000-0000E7060000}"/>
    <cellStyle name="Примечание 2 6 3" xfId="1764" xr:uid="{00000000-0005-0000-0000-0000E8060000}"/>
    <cellStyle name="Примечание 2 6 3 2" xfId="1765" xr:uid="{00000000-0005-0000-0000-0000E9060000}"/>
    <cellStyle name="Примечание 2 6 3 2 2" xfId="1766" xr:uid="{00000000-0005-0000-0000-0000EA060000}"/>
    <cellStyle name="Примечание 2 6 3 2 2 2" xfId="1767" xr:uid="{00000000-0005-0000-0000-0000EB060000}"/>
    <cellStyle name="Примечание 2 6 3 2 2 3" xfId="1768" xr:uid="{00000000-0005-0000-0000-0000EC060000}"/>
    <cellStyle name="Примечание 2 6 3 2 3" xfId="1769" xr:uid="{00000000-0005-0000-0000-0000ED060000}"/>
    <cellStyle name="Примечание 2 6 3 2 3 2" xfId="1770" xr:uid="{00000000-0005-0000-0000-0000EE060000}"/>
    <cellStyle name="Примечание 2 6 3 2 3 3" xfId="1771" xr:uid="{00000000-0005-0000-0000-0000EF060000}"/>
    <cellStyle name="Примечание 2 6 3 2 4" xfId="1772" xr:uid="{00000000-0005-0000-0000-0000F0060000}"/>
    <cellStyle name="Примечание 2 6 3 2 4 2" xfId="1773" xr:uid="{00000000-0005-0000-0000-0000F1060000}"/>
    <cellStyle name="Примечание 2 6 3 2 4 3" xfId="1774" xr:uid="{00000000-0005-0000-0000-0000F2060000}"/>
    <cellStyle name="Примечание 2 6 3 2 5" xfId="1775" xr:uid="{00000000-0005-0000-0000-0000F3060000}"/>
    <cellStyle name="Примечание 2 6 3 2 6" xfId="1776" xr:uid="{00000000-0005-0000-0000-0000F4060000}"/>
    <cellStyle name="Примечание 2 6 3 3" xfId="1777" xr:uid="{00000000-0005-0000-0000-0000F5060000}"/>
    <cellStyle name="Примечание 2 6 3 3 2" xfId="1778" xr:uid="{00000000-0005-0000-0000-0000F6060000}"/>
    <cellStyle name="Примечание 2 6 3 3 2 2" xfId="1779" xr:uid="{00000000-0005-0000-0000-0000F7060000}"/>
    <cellStyle name="Примечание 2 6 3 3 2 3" xfId="1780" xr:uid="{00000000-0005-0000-0000-0000F8060000}"/>
    <cellStyle name="Примечание 2 6 3 3 3" xfId="1781" xr:uid="{00000000-0005-0000-0000-0000F9060000}"/>
    <cellStyle name="Примечание 2 6 3 3 3 2" xfId="1782" xr:uid="{00000000-0005-0000-0000-0000FA060000}"/>
    <cellStyle name="Примечание 2 6 3 3 3 3" xfId="1783" xr:uid="{00000000-0005-0000-0000-0000FB060000}"/>
    <cellStyle name="Примечание 2 6 3 3 4" xfId="1784" xr:uid="{00000000-0005-0000-0000-0000FC060000}"/>
    <cellStyle name="Примечание 2 6 3 3 4 2" xfId="1785" xr:uid="{00000000-0005-0000-0000-0000FD060000}"/>
    <cellStyle name="Примечание 2 6 3 3 4 3" xfId="1786" xr:uid="{00000000-0005-0000-0000-0000FE060000}"/>
    <cellStyle name="Примечание 2 6 3 3 5" xfId="1787" xr:uid="{00000000-0005-0000-0000-0000FF060000}"/>
    <cellStyle name="Примечание 2 6 3 3 6" xfId="1788" xr:uid="{00000000-0005-0000-0000-000000070000}"/>
    <cellStyle name="Примечание 2 6 3 4" xfId="1789" xr:uid="{00000000-0005-0000-0000-000001070000}"/>
    <cellStyle name="Примечание 2 6 3 4 2" xfId="1790" xr:uid="{00000000-0005-0000-0000-000002070000}"/>
    <cellStyle name="Примечание 2 6 3 4 2 2" xfId="1791" xr:uid="{00000000-0005-0000-0000-000003070000}"/>
    <cellStyle name="Примечание 2 6 3 4 2 3" xfId="1792" xr:uid="{00000000-0005-0000-0000-000004070000}"/>
    <cellStyle name="Примечание 2 6 3 4 3" xfId="1793" xr:uid="{00000000-0005-0000-0000-000005070000}"/>
    <cellStyle name="Примечание 2 6 3 4 3 2" xfId="1794" xr:uid="{00000000-0005-0000-0000-000006070000}"/>
    <cellStyle name="Примечание 2 6 3 4 3 3" xfId="1795" xr:uid="{00000000-0005-0000-0000-000007070000}"/>
    <cellStyle name="Примечание 2 6 3 4 4" xfId="1796" xr:uid="{00000000-0005-0000-0000-000008070000}"/>
    <cellStyle name="Примечание 2 6 3 4 4 2" xfId="1797" xr:uid="{00000000-0005-0000-0000-000009070000}"/>
    <cellStyle name="Примечание 2 6 3 4 4 3" xfId="1798" xr:uid="{00000000-0005-0000-0000-00000A070000}"/>
    <cellStyle name="Примечание 2 6 3 4 5" xfId="1799" xr:uid="{00000000-0005-0000-0000-00000B070000}"/>
    <cellStyle name="Примечание 2 6 3 4 6" xfId="1800" xr:uid="{00000000-0005-0000-0000-00000C070000}"/>
    <cellStyle name="Примечание 2 6 3 5" xfId="1801" xr:uid="{00000000-0005-0000-0000-00000D070000}"/>
    <cellStyle name="Примечание 2 6 3 5 2" xfId="1802" xr:uid="{00000000-0005-0000-0000-00000E070000}"/>
    <cellStyle name="Примечание 2 6 3 5 3" xfId="1803" xr:uid="{00000000-0005-0000-0000-00000F070000}"/>
    <cellStyle name="Примечание 2 6 3 6" xfId="1804" xr:uid="{00000000-0005-0000-0000-000010070000}"/>
    <cellStyle name="Примечание 2 6 3 6 2" xfId="1805" xr:uid="{00000000-0005-0000-0000-000011070000}"/>
    <cellStyle name="Примечание 2 6 3 6 3" xfId="1806" xr:uid="{00000000-0005-0000-0000-000012070000}"/>
    <cellStyle name="Примечание 2 6 3 7" xfId="1807" xr:uid="{00000000-0005-0000-0000-000013070000}"/>
    <cellStyle name="Примечание 2 6 3 7 2" xfId="1808" xr:uid="{00000000-0005-0000-0000-000014070000}"/>
    <cellStyle name="Примечание 2 6 3 7 3" xfId="1809" xr:uid="{00000000-0005-0000-0000-000015070000}"/>
    <cellStyle name="Примечание 2 6 3 8" xfId="1810" xr:uid="{00000000-0005-0000-0000-000016070000}"/>
    <cellStyle name="Примечание 2 6 3 9" xfId="1811" xr:uid="{00000000-0005-0000-0000-000017070000}"/>
    <cellStyle name="Примечание 2 6 4" xfId="1812" xr:uid="{00000000-0005-0000-0000-000018070000}"/>
    <cellStyle name="Примечание 2 6 4 2" xfId="1813" xr:uid="{00000000-0005-0000-0000-000019070000}"/>
    <cellStyle name="Примечание 2 6 4 2 2" xfId="1814" xr:uid="{00000000-0005-0000-0000-00001A070000}"/>
    <cellStyle name="Примечание 2 6 4 2 2 2" xfId="1815" xr:uid="{00000000-0005-0000-0000-00001B070000}"/>
    <cellStyle name="Примечание 2 6 4 2 2 3" xfId="1816" xr:uid="{00000000-0005-0000-0000-00001C070000}"/>
    <cellStyle name="Примечание 2 6 4 2 3" xfId="1817" xr:uid="{00000000-0005-0000-0000-00001D070000}"/>
    <cellStyle name="Примечание 2 6 4 2 3 2" xfId="1818" xr:uid="{00000000-0005-0000-0000-00001E070000}"/>
    <cellStyle name="Примечание 2 6 4 2 3 3" xfId="1819" xr:uid="{00000000-0005-0000-0000-00001F070000}"/>
    <cellStyle name="Примечание 2 6 4 2 4" xfId="1820" xr:uid="{00000000-0005-0000-0000-000020070000}"/>
    <cellStyle name="Примечание 2 6 4 2 4 2" xfId="1821" xr:uid="{00000000-0005-0000-0000-000021070000}"/>
    <cellStyle name="Примечание 2 6 4 2 4 3" xfId="1822" xr:uid="{00000000-0005-0000-0000-000022070000}"/>
    <cellStyle name="Примечание 2 6 4 2 5" xfId="1823" xr:uid="{00000000-0005-0000-0000-000023070000}"/>
    <cellStyle name="Примечание 2 6 4 2 6" xfId="1824" xr:uid="{00000000-0005-0000-0000-000024070000}"/>
    <cellStyle name="Примечание 2 6 4 3" xfId="1825" xr:uid="{00000000-0005-0000-0000-000025070000}"/>
    <cellStyle name="Примечание 2 6 4 3 2" xfId="1826" xr:uid="{00000000-0005-0000-0000-000026070000}"/>
    <cellStyle name="Примечание 2 6 4 3 2 2" xfId="1827" xr:uid="{00000000-0005-0000-0000-000027070000}"/>
    <cellStyle name="Примечание 2 6 4 3 2 3" xfId="1828" xr:uid="{00000000-0005-0000-0000-000028070000}"/>
    <cellStyle name="Примечание 2 6 4 3 3" xfId="1829" xr:uid="{00000000-0005-0000-0000-000029070000}"/>
    <cellStyle name="Примечание 2 6 4 3 3 2" xfId="1830" xr:uid="{00000000-0005-0000-0000-00002A070000}"/>
    <cellStyle name="Примечание 2 6 4 3 3 3" xfId="1831" xr:uid="{00000000-0005-0000-0000-00002B070000}"/>
    <cellStyle name="Примечание 2 6 4 3 4" xfId="1832" xr:uid="{00000000-0005-0000-0000-00002C070000}"/>
    <cellStyle name="Примечание 2 6 4 3 4 2" xfId="1833" xr:uid="{00000000-0005-0000-0000-00002D070000}"/>
    <cellStyle name="Примечание 2 6 4 3 4 3" xfId="1834" xr:uid="{00000000-0005-0000-0000-00002E070000}"/>
    <cellStyle name="Примечание 2 6 4 3 5" xfId="1835" xr:uid="{00000000-0005-0000-0000-00002F070000}"/>
    <cellStyle name="Примечание 2 6 4 3 6" xfId="1836" xr:uid="{00000000-0005-0000-0000-000030070000}"/>
    <cellStyle name="Примечание 2 6 4 4" xfId="1837" xr:uid="{00000000-0005-0000-0000-000031070000}"/>
    <cellStyle name="Примечание 2 6 4 4 2" xfId="1838" xr:uid="{00000000-0005-0000-0000-000032070000}"/>
    <cellStyle name="Примечание 2 6 4 4 2 2" xfId="1839" xr:uid="{00000000-0005-0000-0000-000033070000}"/>
    <cellStyle name="Примечание 2 6 4 4 2 3" xfId="1840" xr:uid="{00000000-0005-0000-0000-000034070000}"/>
    <cellStyle name="Примечание 2 6 4 4 3" xfId="1841" xr:uid="{00000000-0005-0000-0000-000035070000}"/>
    <cellStyle name="Примечание 2 6 4 4 3 2" xfId="1842" xr:uid="{00000000-0005-0000-0000-000036070000}"/>
    <cellStyle name="Примечание 2 6 4 4 3 3" xfId="1843" xr:uid="{00000000-0005-0000-0000-000037070000}"/>
    <cellStyle name="Примечание 2 6 4 4 4" xfId="1844" xr:uid="{00000000-0005-0000-0000-000038070000}"/>
    <cellStyle name="Примечание 2 6 4 4 4 2" xfId="1845" xr:uid="{00000000-0005-0000-0000-000039070000}"/>
    <cellStyle name="Примечание 2 6 4 4 4 3" xfId="1846" xr:uid="{00000000-0005-0000-0000-00003A070000}"/>
    <cellStyle name="Примечание 2 6 4 4 5" xfId="1847" xr:uid="{00000000-0005-0000-0000-00003B070000}"/>
    <cellStyle name="Примечание 2 6 4 4 6" xfId="1848" xr:uid="{00000000-0005-0000-0000-00003C070000}"/>
    <cellStyle name="Примечание 2 6 4 5" xfId="1849" xr:uid="{00000000-0005-0000-0000-00003D070000}"/>
    <cellStyle name="Примечание 2 6 4 5 2" xfId="1850" xr:uid="{00000000-0005-0000-0000-00003E070000}"/>
    <cellStyle name="Примечание 2 6 4 5 3" xfId="1851" xr:uid="{00000000-0005-0000-0000-00003F070000}"/>
    <cellStyle name="Примечание 2 6 4 6" xfId="1852" xr:uid="{00000000-0005-0000-0000-000040070000}"/>
    <cellStyle name="Примечание 2 6 4 6 2" xfId="1853" xr:uid="{00000000-0005-0000-0000-000041070000}"/>
    <cellStyle name="Примечание 2 6 4 6 3" xfId="1854" xr:uid="{00000000-0005-0000-0000-000042070000}"/>
    <cellStyle name="Примечание 2 6 4 7" xfId="1855" xr:uid="{00000000-0005-0000-0000-000043070000}"/>
    <cellStyle name="Примечание 2 6 4 7 2" xfId="1856" xr:uid="{00000000-0005-0000-0000-000044070000}"/>
    <cellStyle name="Примечание 2 6 4 7 3" xfId="1857" xr:uid="{00000000-0005-0000-0000-000045070000}"/>
    <cellStyle name="Примечание 2 6 4 8" xfId="1858" xr:uid="{00000000-0005-0000-0000-000046070000}"/>
    <cellStyle name="Примечание 2 6 4 9" xfId="1859" xr:uid="{00000000-0005-0000-0000-000047070000}"/>
    <cellStyle name="Примечание 2 6 5" xfId="1860" xr:uid="{00000000-0005-0000-0000-000048070000}"/>
    <cellStyle name="Примечание 2 6 5 2" xfId="1861" xr:uid="{00000000-0005-0000-0000-000049070000}"/>
    <cellStyle name="Примечание 2 6 5 2 2" xfId="1862" xr:uid="{00000000-0005-0000-0000-00004A070000}"/>
    <cellStyle name="Примечание 2 6 5 2 3" xfId="1863" xr:uid="{00000000-0005-0000-0000-00004B070000}"/>
    <cellStyle name="Примечание 2 6 5 3" xfId="1864" xr:uid="{00000000-0005-0000-0000-00004C070000}"/>
    <cellStyle name="Примечание 2 6 5 3 2" xfId="1865" xr:uid="{00000000-0005-0000-0000-00004D070000}"/>
    <cellStyle name="Примечание 2 6 5 3 3" xfId="1866" xr:uid="{00000000-0005-0000-0000-00004E070000}"/>
    <cellStyle name="Примечание 2 6 5 4" xfId="1867" xr:uid="{00000000-0005-0000-0000-00004F070000}"/>
    <cellStyle name="Примечание 2 6 5 4 2" xfId="1868" xr:uid="{00000000-0005-0000-0000-000050070000}"/>
    <cellStyle name="Примечание 2 6 5 4 3" xfId="1869" xr:uid="{00000000-0005-0000-0000-000051070000}"/>
    <cellStyle name="Примечание 2 6 5 5" xfId="1870" xr:uid="{00000000-0005-0000-0000-000052070000}"/>
    <cellStyle name="Примечание 2 6 5 6" xfId="1871" xr:uid="{00000000-0005-0000-0000-000053070000}"/>
    <cellStyle name="Примечание 2 6 6" xfId="1872" xr:uid="{00000000-0005-0000-0000-000054070000}"/>
    <cellStyle name="Примечание 2 6 6 2" xfId="1873" xr:uid="{00000000-0005-0000-0000-000055070000}"/>
    <cellStyle name="Примечание 2 6 6 2 2" xfId="1874" xr:uid="{00000000-0005-0000-0000-000056070000}"/>
    <cellStyle name="Примечание 2 6 6 2 3" xfId="1875" xr:uid="{00000000-0005-0000-0000-000057070000}"/>
    <cellStyle name="Примечание 2 6 6 3" xfId="1876" xr:uid="{00000000-0005-0000-0000-000058070000}"/>
    <cellStyle name="Примечание 2 6 6 3 2" xfId="1877" xr:uid="{00000000-0005-0000-0000-000059070000}"/>
    <cellStyle name="Примечание 2 6 6 3 3" xfId="1878" xr:uid="{00000000-0005-0000-0000-00005A070000}"/>
    <cellStyle name="Примечание 2 6 6 4" xfId="1879" xr:uid="{00000000-0005-0000-0000-00005B070000}"/>
    <cellStyle name="Примечание 2 6 6 4 2" xfId="1880" xr:uid="{00000000-0005-0000-0000-00005C070000}"/>
    <cellStyle name="Примечание 2 6 6 4 3" xfId="1881" xr:uid="{00000000-0005-0000-0000-00005D070000}"/>
    <cellStyle name="Примечание 2 6 6 5" xfId="1882" xr:uid="{00000000-0005-0000-0000-00005E070000}"/>
    <cellStyle name="Примечание 2 6 6 6" xfId="1883" xr:uid="{00000000-0005-0000-0000-00005F070000}"/>
    <cellStyle name="Примечание 2 6 7" xfId="1884" xr:uid="{00000000-0005-0000-0000-000060070000}"/>
    <cellStyle name="Примечание 2 6 7 2" xfId="1885" xr:uid="{00000000-0005-0000-0000-000061070000}"/>
    <cellStyle name="Примечание 2 6 7 2 2" xfId="1886" xr:uid="{00000000-0005-0000-0000-000062070000}"/>
    <cellStyle name="Примечание 2 6 7 2 3" xfId="1887" xr:uid="{00000000-0005-0000-0000-000063070000}"/>
    <cellStyle name="Примечание 2 6 7 3" xfId="1888" xr:uid="{00000000-0005-0000-0000-000064070000}"/>
    <cellStyle name="Примечание 2 6 7 3 2" xfId="1889" xr:uid="{00000000-0005-0000-0000-000065070000}"/>
    <cellStyle name="Примечание 2 6 7 3 3" xfId="1890" xr:uid="{00000000-0005-0000-0000-000066070000}"/>
    <cellStyle name="Примечание 2 6 7 4" xfId="1891" xr:uid="{00000000-0005-0000-0000-000067070000}"/>
    <cellStyle name="Примечание 2 6 7 4 2" xfId="1892" xr:uid="{00000000-0005-0000-0000-000068070000}"/>
    <cellStyle name="Примечание 2 6 7 4 3" xfId="1893" xr:uid="{00000000-0005-0000-0000-000069070000}"/>
    <cellStyle name="Примечание 2 6 7 5" xfId="1894" xr:uid="{00000000-0005-0000-0000-00006A070000}"/>
    <cellStyle name="Примечание 2 6 7 6" xfId="1895" xr:uid="{00000000-0005-0000-0000-00006B070000}"/>
    <cellStyle name="Примечание 2 6 8" xfId="1896" xr:uid="{00000000-0005-0000-0000-00006C070000}"/>
    <cellStyle name="Примечание 2 6 8 2" xfId="1897" xr:uid="{00000000-0005-0000-0000-00006D070000}"/>
    <cellStyle name="Примечание 2 6 8 3" xfId="1898" xr:uid="{00000000-0005-0000-0000-00006E070000}"/>
    <cellStyle name="Примечание 2 6 9" xfId="1899" xr:uid="{00000000-0005-0000-0000-00006F070000}"/>
    <cellStyle name="Примечание 2 6 9 2" xfId="1900" xr:uid="{00000000-0005-0000-0000-000070070000}"/>
    <cellStyle name="Примечание 2 6 9 3" xfId="1901" xr:uid="{00000000-0005-0000-0000-000071070000}"/>
    <cellStyle name="Примечание 2 7" xfId="1902" xr:uid="{00000000-0005-0000-0000-000072070000}"/>
    <cellStyle name="Примечание 2 7 10" xfId="1903" xr:uid="{00000000-0005-0000-0000-000073070000}"/>
    <cellStyle name="Примечание 2 7 10 2" xfId="1904" xr:uid="{00000000-0005-0000-0000-000074070000}"/>
    <cellStyle name="Примечание 2 7 10 3" xfId="1905" xr:uid="{00000000-0005-0000-0000-000075070000}"/>
    <cellStyle name="Примечание 2 7 11" xfId="1906" xr:uid="{00000000-0005-0000-0000-000076070000}"/>
    <cellStyle name="Примечание 2 7 12" xfId="1907" xr:uid="{00000000-0005-0000-0000-000077070000}"/>
    <cellStyle name="Примечание 2 7 2" xfId="1908" xr:uid="{00000000-0005-0000-0000-000078070000}"/>
    <cellStyle name="Примечание 2 7 2 2" xfId="1909" xr:uid="{00000000-0005-0000-0000-000079070000}"/>
    <cellStyle name="Примечание 2 7 2 2 2" xfId="1910" xr:uid="{00000000-0005-0000-0000-00007A070000}"/>
    <cellStyle name="Примечание 2 7 2 2 2 2" xfId="1911" xr:uid="{00000000-0005-0000-0000-00007B070000}"/>
    <cellStyle name="Примечание 2 7 2 2 2 3" xfId="1912" xr:uid="{00000000-0005-0000-0000-00007C070000}"/>
    <cellStyle name="Примечание 2 7 2 2 3" xfId="1913" xr:uid="{00000000-0005-0000-0000-00007D070000}"/>
    <cellStyle name="Примечание 2 7 2 2 3 2" xfId="1914" xr:uid="{00000000-0005-0000-0000-00007E070000}"/>
    <cellStyle name="Примечание 2 7 2 2 3 3" xfId="1915" xr:uid="{00000000-0005-0000-0000-00007F070000}"/>
    <cellStyle name="Примечание 2 7 2 2 4" xfId="1916" xr:uid="{00000000-0005-0000-0000-000080070000}"/>
    <cellStyle name="Примечание 2 7 2 2 4 2" xfId="1917" xr:uid="{00000000-0005-0000-0000-000081070000}"/>
    <cellStyle name="Примечание 2 7 2 2 4 3" xfId="1918" xr:uid="{00000000-0005-0000-0000-000082070000}"/>
    <cellStyle name="Примечание 2 7 2 2 5" xfId="1919" xr:uid="{00000000-0005-0000-0000-000083070000}"/>
    <cellStyle name="Примечание 2 7 2 2 6" xfId="1920" xr:uid="{00000000-0005-0000-0000-000084070000}"/>
    <cellStyle name="Примечание 2 7 2 3" xfId="1921" xr:uid="{00000000-0005-0000-0000-000085070000}"/>
    <cellStyle name="Примечание 2 7 2 3 2" xfId="1922" xr:uid="{00000000-0005-0000-0000-000086070000}"/>
    <cellStyle name="Примечание 2 7 2 3 2 2" xfId="1923" xr:uid="{00000000-0005-0000-0000-000087070000}"/>
    <cellStyle name="Примечание 2 7 2 3 2 3" xfId="1924" xr:uid="{00000000-0005-0000-0000-000088070000}"/>
    <cellStyle name="Примечание 2 7 2 3 3" xfId="1925" xr:uid="{00000000-0005-0000-0000-000089070000}"/>
    <cellStyle name="Примечание 2 7 2 3 3 2" xfId="1926" xr:uid="{00000000-0005-0000-0000-00008A070000}"/>
    <cellStyle name="Примечание 2 7 2 3 3 3" xfId="1927" xr:uid="{00000000-0005-0000-0000-00008B070000}"/>
    <cellStyle name="Примечание 2 7 2 3 4" xfId="1928" xr:uid="{00000000-0005-0000-0000-00008C070000}"/>
    <cellStyle name="Примечание 2 7 2 3 4 2" xfId="1929" xr:uid="{00000000-0005-0000-0000-00008D070000}"/>
    <cellStyle name="Примечание 2 7 2 3 4 3" xfId="1930" xr:uid="{00000000-0005-0000-0000-00008E070000}"/>
    <cellStyle name="Примечание 2 7 2 3 5" xfId="1931" xr:uid="{00000000-0005-0000-0000-00008F070000}"/>
    <cellStyle name="Примечание 2 7 2 3 6" xfId="1932" xr:uid="{00000000-0005-0000-0000-000090070000}"/>
    <cellStyle name="Примечание 2 7 2 4" xfId="1933" xr:uid="{00000000-0005-0000-0000-000091070000}"/>
    <cellStyle name="Примечание 2 7 2 4 2" xfId="1934" xr:uid="{00000000-0005-0000-0000-000092070000}"/>
    <cellStyle name="Примечание 2 7 2 4 2 2" xfId="1935" xr:uid="{00000000-0005-0000-0000-000093070000}"/>
    <cellStyle name="Примечание 2 7 2 4 2 3" xfId="1936" xr:uid="{00000000-0005-0000-0000-000094070000}"/>
    <cellStyle name="Примечание 2 7 2 4 3" xfId="1937" xr:uid="{00000000-0005-0000-0000-000095070000}"/>
    <cellStyle name="Примечание 2 7 2 4 3 2" xfId="1938" xr:uid="{00000000-0005-0000-0000-000096070000}"/>
    <cellStyle name="Примечание 2 7 2 4 3 3" xfId="1939" xr:uid="{00000000-0005-0000-0000-000097070000}"/>
    <cellStyle name="Примечание 2 7 2 4 4" xfId="1940" xr:uid="{00000000-0005-0000-0000-000098070000}"/>
    <cellStyle name="Примечание 2 7 2 4 4 2" xfId="1941" xr:uid="{00000000-0005-0000-0000-000099070000}"/>
    <cellStyle name="Примечание 2 7 2 4 4 3" xfId="1942" xr:uid="{00000000-0005-0000-0000-00009A070000}"/>
    <cellStyle name="Примечание 2 7 2 4 5" xfId="1943" xr:uid="{00000000-0005-0000-0000-00009B070000}"/>
    <cellStyle name="Примечание 2 7 2 4 6" xfId="1944" xr:uid="{00000000-0005-0000-0000-00009C070000}"/>
    <cellStyle name="Примечание 2 7 2 5" xfId="1945" xr:uid="{00000000-0005-0000-0000-00009D070000}"/>
    <cellStyle name="Примечание 2 7 2 5 2" xfId="1946" xr:uid="{00000000-0005-0000-0000-00009E070000}"/>
    <cellStyle name="Примечание 2 7 2 5 3" xfId="1947" xr:uid="{00000000-0005-0000-0000-00009F070000}"/>
    <cellStyle name="Примечание 2 7 2 6" xfId="1948" xr:uid="{00000000-0005-0000-0000-0000A0070000}"/>
    <cellStyle name="Примечание 2 7 2 6 2" xfId="1949" xr:uid="{00000000-0005-0000-0000-0000A1070000}"/>
    <cellStyle name="Примечание 2 7 2 6 3" xfId="1950" xr:uid="{00000000-0005-0000-0000-0000A2070000}"/>
    <cellStyle name="Примечание 2 7 2 7" xfId="1951" xr:uid="{00000000-0005-0000-0000-0000A3070000}"/>
    <cellStyle name="Примечание 2 7 2 7 2" xfId="1952" xr:uid="{00000000-0005-0000-0000-0000A4070000}"/>
    <cellStyle name="Примечание 2 7 2 7 3" xfId="1953" xr:uid="{00000000-0005-0000-0000-0000A5070000}"/>
    <cellStyle name="Примечание 2 7 2 8" xfId="1954" xr:uid="{00000000-0005-0000-0000-0000A6070000}"/>
    <cellStyle name="Примечание 2 7 2 9" xfId="1955" xr:uid="{00000000-0005-0000-0000-0000A7070000}"/>
    <cellStyle name="Примечание 2 7 3" xfId="1956" xr:uid="{00000000-0005-0000-0000-0000A8070000}"/>
    <cellStyle name="Примечание 2 7 3 2" xfId="1957" xr:uid="{00000000-0005-0000-0000-0000A9070000}"/>
    <cellStyle name="Примечание 2 7 3 2 2" xfId="1958" xr:uid="{00000000-0005-0000-0000-0000AA070000}"/>
    <cellStyle name="Примечание 2 7 3 2 2 2" xfId="1959" xr:uid="{00000000-0005-0000-0000-0000AB070000}"/>
    <cellStyle name="Примечание 2 7 3 2 2 3" xfId="1960" xr:uid="{00000000-0005-0000-0000-0000AC070000}"/>
    <cellStyle name="Примечание 2 7 3 2 3" xfId="1961" xr:uid="{00000000-0005-0000-0000-0000AD070000}"/>
    <cellStyle name="Примечание 2 7 3 2 3 2" xfId="1962" xr:uid="{00000000-0005-0000-0000-0000AE070000}"/>
    <cellStyle name="Примечание 2 7 3 2 3 3" xfId="1963" xr:uid="{00000000-0005-0000-0000-0000AF070000}"/>
    <cellStyle name="Примечание 2 7 3 2 4" xfId="1964" xr:uid="{00000000-0005-0000-0000-0000B0070000}"/>
    <cellStyle name="Примечание 2 7 3 2 4 2" xfId="1965" xr:uid="{00000000-0005-0000-0000-0000B1070000}"/>
    <cellStyle name="Примечание 2 7 3 2 4 3" xfId="1966" xr:uid="{00000000-0005-0000-0000-0000B2070000}"/>
    <cellStyle name="Примечание 2 7 3 2 5" xfId="1967" xr:uid="{00000000-0005-0000-0000-0000B3070000}"/>
    <cellStyle name="Примечание 2 7 3 2 6" xfId="1968" xr:uid="{00000000-0005-0000-0000-0000B4070000}"/>
    <cellStyle name="Примечание 2 7 3 3" xfId="1969" xr:uid="{00000000-0005-0000-0000-0000B5070000}"/>
    <cellStyle name="Примечание 2 7 3 3 2" xfId="1970" xr:uid="{00000000-0005-0000-0000-0000B6070000}"/>
    <cellStyle name="Примечание 2 7 3 3 2 2" xfId="1971" xr:uid="{00000000-0005-0000-0000-0000B7070000}"/>
    <cellStyle name="Примечание 2 7 3 3 2 3" xfId="1972" xr:uid="{00000000-0005-0000-0000-0000B8070000}"/>
    <cellStyle name="Примечание 2 7 3 3 3" xfId="1973" xr:uid="{00000000-0005-0000-0000-0000B9070000}"/>
    <cellStyle name="Примечание 2 7 3 3 3 2" xfId="1974" xr:uid="{00000000-0005-0000-0000-0000BA070000}"/>
    <cellStyle name="Примечание 2 7 3 3 3 3" xfId="1975" xr:uid="{00000000-0005-0000-0000-0000BB070000}"/>
    <cellStyle name="Примечание 2 7 3 3 4" xfId="1976" xr:uid="{00000000-0005-0000-0000-0000BC070000}"/>
    <cellStyle name="Примечание 2 7 3 3 4 2" xfId="1977" xr:uid="{00000000-0005-0000-0000-0000BD070000}"/>
    <cellStyle name="Примечание 2 7 3 3 4 3" xfId="1978" xr:uid="{00000000-0005-0000-0000-0000BE070000}"/>
    <cellStyle name="Примечание 2 7 3 3 5" xfId="1979" xr:uid="{00000000-0005-0000-0000-0000BF070000}"/>
    <cellStyle name="Примечание 2 7 3 3 6" xfId="1980" xr:uid="{00000000-0005-0000-0000-0000C0070000}"/>
    <cellStyle name="Примечание 2 7 3 4" xfId="1981" xr:uid="{00000000-0005-0000-0000-0000C1070000}"/>
    <cellStyle name="Примечание 2 7 3 4 2" xfId="1982" xr:uid="{00000000-0005-0000-0000-0000C2070000}"/>
    <cellStyle name="Примечание 2 7 3 4 2 2" xfId="1983" xr:uid="{00000000-0005-0000-0000-0000C3070000}"/>
    <cellStyle name="Примечание 2 7 3 4 2 3" xfId="1984" xr:uid="{00000000-0005-0000-0000-0000C4070000}"/>
    <cellStyle name="Примечание 2 7 3 4 3" xfId="1985" xr:uid="{00000000-0005-0000-0000-0000C5070000}"/>
    <cellStyle name="Примечание 2 7 3 4 3 2" xfId="1986" xr:uid="{00000000-0005-0000-0000-0000C6070000}"/>
    <cellStyle name="Примечание 2 7 3 4 3 3" xfId="1987" xr:uid="{00000000-0005-0000-0000-0000C7070000}"/>
    <cellStyle name="Примечание 2 7 3 4 4" xfId="1988" xr:uid="{00000000-0005-0000-0000-0000C8070000}"/>
    <cellStyle name="Примечание 2 7 3 4 4 2" xfId="1989" xr:uid="{00000000-0005-0000-0000-0000C9070000}"/>
    <cellStyle name="Примечание 2 7 3 4 4 3" xfId="1990" xr:uid="{00000000-0005-0000-0000-0000CA070000}"/>
    <cellStyle name="Примечание 2 7 3 4 5" xfId="1991" xr:uid="{00000000-0005-0000-0000-0000CB070000}"/>
    <cellStyle name="Примечание 2 7 3 4 6" xfId="1992" xr:uid="{00000000-0005-0000-0000-0000CC070000}"/>
    <cellStyle name="Примечание 2 7 3 5" xfId="1993" xr:uid="{00000000-0005-0000-0000-0000CD070000}"/>
    <cellStyle name="Примечание 2 7 3 5 2" xfId="1994" xr:uid="{00000000-0005-0000-0000-0000CE070000}"/>
    <cellStyle name="Примечание 2 7 3 5 3" xfId="1995" xr:uid="{00000000-0005-0000-0000-0000CF070000}"/>
    <cellStyle name="Примечание 2 7 3 6" xfId="1996" xr:uid="{00000000-0005-0000-0000-0000D0070000}"/>
    <cellStyle name="Примечание 2 7 3 6 2" xfId="1997" xr:uid="{00000000-0005-0000-0000-0000D1070000}"/>
    <cellStyle name="Примечание 2 7 3 6 3" xfId="1998" xr:uid="{00000000-0005-0000-0000-0000D2070000}"/>
    <cellStyle name="Примечание 2 7 3 7" xfId="1999" xr:uid="{00000000-0005-0000-0000-0000D3070000}"/>
    <cellStyle name="Примечание 2 7 3 7 2" xfId="2000" xr:uid="{00000000-0005-0000-0000-0000D4070000}"/>
    <cellStyle name="Примечание 2 7 3 7 3" xfId="2001" xr:uid="{00000000-0005-0000-0000-0000D5070000}"/>
    <cellStyle name="Примечание 2 7 3 8" xfId="2002" xr:uid="{00000000-0005-0000-0000-0000D6070000}"/>
    <cellStyle name="Примечание 2 7 3 9" xfId="2003" xr:uid="{00000000-0005-0000-0000-0000D7070000}"/>
    <cellStyle name="Примечание 2 7 4" xfId="2004" xr:uid="{00000000-0005-0000-0000-0000D8070000}"/>
    <cellStyle name="Примечание 2 7 4 2" xfId="2005" xr:uid="{00000000-0005-0000-0000-0000D9070000}"/>
    <cellStyle name="Примечание 2 7 4 2 2" xfId="2006" xr:uid="{00000000-0005-0000-0000-0000DA070000}"/>
    <cellStyle name="Примечание 2 7 4 2 2 2" xfId="2007" xr:uid="{00000000-0005-0000-0000-0000DB070000}"/>
    <cellStyle name="Примечание 2 7 4 2 2 3" xfId="2008" xr:uid="{00000000-0005-0000-0000-0000DC070000}"/>
    <cellStyle name="Примечание 2 7 4 2 3" xfId="2009" xr:uid="{00000000-0005-0000-0000-0000DD070000}"/>
    <cellStyle name="Примечание 2 7 4 2 3 2" xfId="2010" xr:uid="{00000000-0005-0000-0000-0000DE070000}"/>
    <cellStyle name="Примечание 2 7 4 2 3 3" xfId="2011" xr:uid="{00000000-0005-0000-0000-0000DF070000}"/>
    <cellStyle name="Примечание 2 7 4 2 4" xfId="2012" xr:uid="{00000000-0005-0000-0000-0000E0070000}"/>
    <cellStyle name="Примечание 2 7 4 2 4 2" xfId="2013" xr:uid="{00000000-0005-0000-0000-0000E1070000}"/>
    <cellStyle name="Примечание 2 7 4 2 4 3" xfId="2014" xr:uid="{00000000-0005-0000-0000-0000E2070000}"/>
    <cellStyle name="Примечание 2 7 4 2 5" xfId="2015" xr:uid="{00000000-0005-0000-0000-0000E3070000}"/>
    <cellStyle name="Примечание 2 7 4 2 6" xfId="2016" xr:uid="{00000000-0005-0000-0000-0000E4070000}"/>
    <cellStyle name="Примечание 2 7 4 3" xfId="2017" xr:uid="{00000000-0005-0000-0000-0000E5070000}"/>
    <cellStyle name="Примечание 2 7 4 3 2" xfId="2018" xr:uid="{00000000-0005-0000-0000-0000E6070000}"/>
    <cellStyle name="Примечание 2 7 4 3 2 2" xfId="2019" xr:uid="{00000000-0005-0000-0000-0000E7070000}"/>
    <cellStyle name="Примечание 2 7 4 3 2 3" xfId="2020" xr:uid="{00000000-0005-0000-0000-0000E8070000}"/>
    <cellStyle name="Примечание 2 7 4 3 3" xfId="2021" xr:uid="{00000000-0005-0000-0000-0000E9070000}"/>
    <cellStyle name="Примечание 2 7 4 3 3 2" xfId="2022" xr:uid="{00000000-0005-0000-0000-0000EA070000}"/>
    <cellStyle name="Примечание 2 7 4 3 3 3" xfId="2023" xr:uid="{00000000-0005-0000-0000-0000EB070000}"/>
    <cellStyle name="Примечание 2 7 4 3 4" xfId="2024" xr:uid="{00000000-0005-0000-0000-0000EC070000}"/>
    <cellStyle name="Примечание 2 7 4 3 4 2" xfId="2025" xr:uid="{00000000-0005-0000-0000-0000ED070000}"/>
    <cellStyle name="Примечание 2 7 4 3 4 3" xfId="2026" xr:uid="{00000000-0005-0000-0000-0000EE070000}"/>
    <cellStyle name="Примечание 2 7 4 3 5" xfId="2027" xr:uid="{00000000-0005-0000-0000-0000EF070000}"/>
    <cellStyle name="Примечание 2 7 4 3 6" xfId="2028" xr:uid="{00000000-0005-0000-0000-0000F0070000}"/>
    <cellStyle name="Примечание 2 7 4 4" xfId="2029" xr:uid="{00000000-0005-0000-0000-0000F1070000}"/>
    <cellStyle name="Примечание 2 7 4 4 2" xfId="2030" xr:uid="{00000000-0005-0000-0000-0000F2070000}"/>
    <cellStyle name="Примечание 2 7 4 4 2 2" xfId="2031" xr:uid="{00000000-0005-0000-0000-0000F3070000}"/>
    <cellStyle name="Примечание 2 7 4 4 2 3" xfId="2032" xr:uid="{00000000-0005-0000-0000-0000F4070000}"/>
    <cellStyle name="Примечание 2 7 4 4 3" xfId="2033" xr:uid="{00000000-0005-0000-0000-0000F5070000}"/>
    <cellStyle name="Примечание 2 7 4 4 3 2" xfId="2034" xr:uid="{00000000-0005-0000-0000-0000F6070000}"/>
    <cellStyle name="Примечание 2 7 4 4 3 3" xfId="2035" xr:uid="{00000000-0005-0000-0000-0000F7070000}"/>
    <cellStyle name="Примечание 2 7 4 4 4" xfId="2036" xr:uid="{00000000-0005-0000-0000-0000F8070000}"/>
    <cellStyle name="Примечание 2 7 4 4 4 2" xfId="2037" xr:uid="{00000000-0005-0000-0000-0000F9070000}"/>
    <cellStyle name="Примечание 2 7 4 4 4 3" xfId="2038" xr:uid="{00000000-0005-0000-0000-0000FA070000}"/>
    <cellStyle name="Примечание 2 7 4 4 5" xfId="2039" xr:uid="{00000000-0005-0000-0000-0000FB070000}"/>
    <cellStyle name="Примечание 2 7 4 4 6" xfId="2040" xr:uid="{00000000-0005-0000-0000-0000FC070000}"/>
    <cellStyle name="Примечание 2 7 4 5" xfId="2041" xr:uid="{00000000-0005-0000-0000-0000FD070000}"/>
    <cellStyle name="Примечание 2 7 4 5 2" xfId="2042" xr:uid="{00000000-0005-0000-0000-0000FE070000}"/>
    <cellStyle name="Примечание 2 7 4 5 3" xfId="2043" xr:uid="{00000000-0005-0000-0000-0000FF070000}"/>
    <cellStyle name="Примечание 2 7 4 6" xfId="2044" xr:uid="{00000000-0005-0000-0000-000000080000}"/>
    <cellStyle name="Примечание 2 7 4 6 2" xfId="2045" xr:uid="{00000000-0005-0000-0000-000001080000}"/>
    <cellStyle name="Примечание 2 7 4 6 3" xfId="2046" xr:uid="{00000000-0005-0000-0000-000002080000}"/>
    <cellStyle name="Примечание 2 7 4 7" xfId="2047" xr:uid="{00000000-0005-0000-0000-000003080000}"/>
    <cellStyle name="Примечание 2 7 4 7 2" xfId="2048" xr:uid="{00000000-0005-0000-0000-000004080000}"/>
    <cellStyle name="Примечание 2 7 4 7 3" xfId="2049" xr:uid="{00000000-0005-0000-0000-000005080000}"/>
    <cellStyle name="Примечание 2 7 4 8" xfId="2050" xr:uid="{00000000-0005-0000-0000-000006080000}"/>
    <cellStyle name="Примечание 2 7 4 9" xfId="2051" xr:uid="{00000000-0005-0000-0000-000007080000}"/>
    <cellStyle name="Примечание 2 7 5" xfId="2052" xr:uid="{00000000-0005-0000-0000-000008080000}"/>
    <cellStyle name="Примечание 2 7 5 2" xfId="2053" xr:uid="{00000000-0005-0000-0000-000009080000}"/>
    <cellStyle name="Примечание 2 7 5 2 2" xfId="2054" xr:uid="{00000000-0005-0000-0000-00000A080000}"/>
    <cellStyle name="Примечание 2 7 5 2 3" xfId="2055" xr:uid="{00000000-0005-0000-0000-00000B080000}"/>
    <cellStyle name="Примечание 2 7 5 3" xfId="2056" xr:uid="{00000000-0005-0000-0000-00000C080000}"/>
    <cellStyle name="Примечание 2 7 5 3 2" xfId="2057" xr:uid="{00000000-0005-0000-0000-00000D080000}"/>
    <cellStyle name="Примечание 2 7 5 3 3" xfId="2058" xr:uid="{00000000-0005-0000-0000-00000E080000}"/>
    <cellStyle name="Примечание 2 7 5 4" xfId="2059" xr:uid="{00000000-0005-0000-0000-00000F080000}"/>
    <cellStyle name="Примечание 2 7 5 4 2" xfId="2060" xr:uid="{00000000-0005-0000-0000-000010080000}"/>
    <cellStyle name="Примечание 2 7 5 4 3" xfId="2061" xr:uid="{00000000-0005-0000-0000-000011080000}"/>
    <cellStyle name="Примечание 2 7 5 5" xfId="2062" xr:uid="{00000000-0005-0000-0000-000012080000}"/>
    <cellStyle name="Примечание 2 7 5 6" xfId="2063" xr:uid="{00000000-0005-0000-0000-000013080000}"/>
    <cellStyle name="Примечание 2 7 6" xfId="2064" xr:uid="{00000000-0005-0000-0000-000014080000}"/>
    <cellStyle name="Примечание 2 7 6 2" xfId="2065" xr:uid="{00000000-0005-0000-0000-000015080000}"/>
    <cellStyle name="Примечание 2 7 6 2 2" xfId="2066" xr:uid="{00000000-0005-0000-0000-000016080000}"/>
    <cellStyle name="Примечание 2 7 6 2 3" xfId="2067" xr:uid="{00000000-0005-0000-0000-000017080000}"/>
    <cellStyle name="Примечание 2 7 6 3" xfId="2068" xr:uid="{00000000-0005-0000-0000-000018080000}"/>
    <cellStyle name="Примечание 2 7 6 3 2" xfId="2069" xr:uid="{00000000-0005-0000-0000-000019080000}"/>
    <cellStyle name="Примечание 2 7 6 3 3" xfId="2070" xr:uid="{00000000-0005-0000-0000-00001A080000}"/>
    <cellStyle name="Примечание 2 7 6 4" xfId="2071" xr:uid="{00000000-0005-0000-0000-00001B080000}"/>
    <cellStyle name="Примечание 2 7 6 4 2" xfId="2072" xr:uid="{00000000-0005-0000-0000-00001C080000}"/>
    <cellStyle name="Примечание 2 7 6 4 3" xfId="2073" xr:uid="{00000000-0005-0000-0000-00001D080000}"/>
    <cellStyle name="Примечание 2 7 6 5" xfId="2074" xr:uid="{00000000-0005-0000-0000-00001E080000}"/>
    <cellStyle name="Примечание 2 7 6 6" xfId="2075" xr:uid="{00000000-0005-0000-0000-00001F080000}"/>
    <cellStyle name="Примечание 2 7 7" xfId="2076" xr:uid="{00000000-0005-0000-0000-000020080000}"/>
    <cellStyle name="Примечание 2 7 7 2" xfId="2077" xr:uid="{00000000-0005-0000-0000-000021080000}"/>
    <cellStyle name="Примечание 2 7 7 2 2" xfId="2078" xr:uid="{00000000-0005-0000-0000-000022080000}"/>
    <cellStyle name="Примечание 2 7 7 2 3" xfId="2079" xr:uid="{00000000-0005-0000-0000-000023080000}"/>
    <cellStyle name="Примечание 2 7 7 3" xfId="2080" xr:uid="{00000000-0005-0000-0000-000024080000}"/>
    <cellStyle name="Примечание 2 7 7 3 2" xfId="2081" xr:uid="{00000000-0005-0000-0000-000025080000}"/>
    <cellStyle name="Примечание 2 7 7 3 3" xfId="2082" xr:uid="{00000000-0005-0000-0000-000026080000}"/>
    <cellStyle name="Примечание 2 7 7 4" xfId="2083" xr:uid="{00000000-0005-0000-0000-000027080000}"/>
    <cellStyle name="Примечание 2 7 7 4 2" xfId="2084" xr:uid="{00000000-0005-0000-0000-000028080000}"/>
    <cellStyle name="Примечание 2 7 7 4 3" xfId="2085" xr:uid="{00000000-0005-0000-0000-000029080000}"/>
    <cellStyle name="Примечание 2 7 7 5" xfId="2086" xr:uid="{00000000-0005-0000-0000-00002A080000}"/>
    <cellStyle name="Примечание 2 7 7 6" xfId="2087" xr:uid="{00000000-0005-0000-0000-00002B080000}"/>
    <cellStyle name="Примечание 2 7 8" xfId="2088" xr:uid="{00000000-0005-0000-0000-00002C080000}"/>
    <cellStyle name="Примечание 2 7 8 2" xfId="2089" xr:uid="{00000000-0005-0000-0000-00002D080000}"/>
    <cellStyle name="Примечание 2 7 8 3" xfId="2090" xr:uid="{00000000-0005-0000-0000-00002E080000}"/>
    <cellStyle name="Примечание 2 7 9" xfId="2091" xr:uid="{00000000-0005-0000-0000-00002F080000}"/>
    <cellStyle name="Примечание 2 7 9 2" xfId="2092" xr:uid="{00000000-0005-0000-0000-000030080000}"/>
    <cellStyle name="Примечание 2 7 9 3" xfId="2093" xr:uid="{00000000-0005-0000-0000-000031080000}"/>
    <cellStyle name="Примечание 2 8" xfId="2094" xr:uid="{00000000-0005-0000-0000-000032080000}"/>
    <cellStyle name="Примечание 2 8 10" xfId="2095" xr:uid="{00000000-0005-0000-0000-000033080000}"/>
    <cellStyle name="Примечание 2 8 10 2" xfId="2096" xr:uid="{00000000-0005-0000-0000-000034080000}"/>
    <cellStyle name="Примечание 2 8 10 3" xfId="2097" xr:uid="{00000000-0005-0000-0000-000035080000}"/>
    <cellStyle name="Примечание 2 8 11" xfId="2098" xr:uid="{00000000-0005-0000-0000-000036080000}"/>
    <cellStyle name="Примечание 2 8 12" xfId="2099" xr:uid="{00000000-0005-0000-0000-000037080000}"/>
    <cellStyle name="Примечание 2 8 2" xfId="2100" xr:uid="{00000000-0005-0000-0000-000038080000}"/>
    <cellStyle name="Примечание 2 8 2 2" xfId="2101" xr:uid="{00000000-0005-0000-0000-000039080000}"/>
    <cellStyle name="Примечание 2 8 2 2 2" xfId="2102" xr:uid="{00000000-0005-0000-0000-00003A080000}"/>
    <cellStyle name="Примечание 2 8 2 2 2 2" xfId="2103" xr:uid="{00000000-0005-0000-0000-00003B080000}"/>
    <cellStyle name="Примечание 2 8 2 2 2 3" xfId="2104" xr:uid="{00000000-0005-0000-0000-00003C080000}"/>
    <cellStyle name="Примечание 2 8 2 2 3" xfId="2105" xr:uid="{00000000-0005-0000-0000-00003D080000}"/>
    <cellStyle name="Примечание 2 8 2 2 3 2" xfId="2106" xr:uid="{00000000-0005-0000-0000-00003E080000}"/>
    <cellStyle name="Примечание 2 8 2 2 3 3" xfId="2107" xr:uid="{00000000-0005-0000-0000-00003F080000}"/>
    <cellStyle name="Примечание 2 8 2 2 4" xfId="2108" xr:uid="{00000000-0005-0000-0000-000040080000}"/>
    <cellStyle name="Примечание 2 8 2 2 4 2" xfId="2109" xr:uid="{00000000-0005-0000-0000-000041080000}"/>
    <cellStyle name="Примечание 2 8 2 2 4 3" xfId="2110" xr:uid="{00000000-0005-0000-0000-000042080000}"/>
    <cellStyle name="Примечание 2 8 2 2 5" xfId="2111" xr:uid="{00000000-0005-0000-0000-000043080000}"/>
    <cellStyle name="Примечание 2 8 2 2 6" xfId="2112" xr:uid="{00000000-0005-0000-0000-000044080000}"/>
    <cellStyle name="Примечание 2 8 2 3" xfId="2113" xr:uid="{00000000-0005-0000-0000-000045080000}"/>
    <cellStyle name="Примечание 2 8 2 3 2" xfId="2114" xr:uid="{00000000-0005-0000-0000-000046080000}"/>
    <cellStyle name="Примечание 2 8 2 3 2 2" xfId="2115" xr:uid="{00000000-0005-0000-0000-000047080000}"/>
    <cellStyle name="Примечание 2 8 2 3 2 3" xfId="2116" xr:uid="{00000000-0005-0000-0000-000048080000}"/>
    <cellStyle name="Примечание 2 8 2 3 3" xfId="2117" xr:uid="{00000000-0005-0000-0000-000049080000}"/>
    <cellStyle name="Примечание 2 8 2 3 3 2" xfId="2118" xr:uid="{00000000-0005-0000-0000-00004A080000}"/>
    <cellStyle name="Примечание 2 8 2 3 3 3" xfId="2119" xr:uid="{00000000-0005-0000-0000-00004B080000}"/>
    <cellStyle name="Примечание 2 8 2 3 4" xfId="2120" xr:uid="{00000000-0005-0000-0000-00004C080000}"/>
    <cellStyle name="Примечание 2 8 2 3 4 2" xfId="2121" xr:uid="{00000000-0005-0000-0000-00004D080000}"/>
    <cellStyle name="Примечание 2 8 2 3 4 3" xfId="2122" xr:uid="{00000000-0005-0000-0000-00004E080000}"/>
    <cellStyle name="Примечание 2 8 2 3 5" xfId="2123" xr:uid="{00000000-0005-0000-0000-00004F080000}"/>
    <cellStyle name="Примечание 2 8 2 3 6" xfId="2124" xr:uid="{00000000-0005-0000-0000-000050080000}"/>
    <cellStyle name="Примечание 2 8 2 4" xfId="2125" xr:uid="{00000000-0005-0000-0000-000051080000}"/>
    <cellStyle name="Примечание 2 8 2 4 2" xfId="2126" xr:uid="{00000000-0005-0000-0000-000052080000}"/>
    <cellStyle name="Примечание 2 8 2 4 2 2" xfId="2127" xr:uid="{00000000-0005-0000-0000-000053080000}"/>
    <cellStyle name="Примечание 2 8 2 4 2 3" xfId="2128" xr:uid="{00000000-0005-0000-0000-000054080000}"/>
    <cellStyle name="Примечание 2 8 2 4 3" xfId="2129" xr:uid="{00000000-0005-0000-0000-000055080000}"/>
    <cellStyle name="Примечание 2 8 2 4 3 2" xfId="2130" xr:uid="{00000000-0005-0000-0000-000056080000}"/>
    <cellStyle name="Примечание 2 8 2 4 3 3" xfId="2131" xr:uid="{00000000-0005-0000-0000-000057080000}"/>
    <cellStyle name="Примечание 2 8 2 4 4" xfId="2132" xr:uid="{00000000-0005-0000-0000-000058080000}"/>
    <cellStyle name="Примечание 2 8 2 4 4 2" xfId="2133" xr:uid="{00000000-0005-0000-0000-000059080000}"/>
    <cellStyle name="Примечание 2 8 2 4 4 3" xfId="2134" xr:uid="{00000000-0005-0000-0000-00005A080000}"/>
    <cellStyle name="Примечание 2 8 2 4 5" xfId="2135" xr:uid="{00000000-0005-0000-0000-00005B080000}"/>
    <cellStyle name="Примечание 2 8 2 4 6" xfId="2136" xr:uid="{00000000-0005-0000-0000-00005C080000}"/>
    <cellStyle name="Примечание 2 8 2 5" xfId="2137" xr:uid="{00000000-0005-0000-0000-00005D080000}"/>
    <cellStyle name="Примечание 2 8 2 5 2" xfId="2138" xr:uid="{00000000-0005-0000-0000-00005E080000}"/>
    <cellStyle name="Примечание 2 8 2 5 3" xfId="2139" xr:uid="{00000000-0005-0000-0000-00005F080000}"/>
    <cellStyle name="Примечание 2 8 2 6" xfId="2140" xr:uid="{00000000-0005-0000-0000-000060080000}"/>
    <cellStyle name="Примечание 2 8 2 6 2" xfId="2141" xr:uid="{00000000-0005-0000-0000-000061080000}"/>
    <cellStyle name="Примечание 2 8 2 6 3" xfId="2142" xr:uid="{00000000-0005-0000-0000-000062080000}"/>
    <cellStyle name="Примечание 2 8 2 7" xfId="2143" xr:uid="{00000000-0005-0000-0000-000063080000}"/>
    <cellStyle name="Примечание 2 8 2 7 2" xfId="2144" xr:uid="{00000000-0005-0000-0000-000064080000}"/>
    <cellStyle name="Примечание 2 8 2 7 3" xfId="2145" xr:uid="{00000000-0005-0000-0000-000065080000}"/>
    <cellStyle name="Примечание 2 8 2 8" xfId="2146" xr:uid="{00000000-0005-0000-0000-000066080000}"/>
    <cellStyle name="Примечание 2 8 2 9" xfId="2147" xr:uid="{00000000-0005-0000-0000-000067080000}"/>
    <cellStyle name="Примечание 2 8 3" xfId="2148" xr:uid="{00000000-0005-0000-0000-000068080000}"/>
    <cellStyle name="Примечание 2 8 3 2" xfId="2149" xr:uid="{00000000-0005-0000-0000-000069080000}"/>
    <cellStyle name="Примечание 2 8 3 2 2" xfId="2150" xr:uid="{00000000-0005-0000-0000-00006A080000}"/>
    <cellStyle name="Примечание 2 8 3 2 2 2" xfId="2151" xr:uid="{00000000-0005-0000-0000-00006B080000}"/>
    <cellStyle name="Примечание 2 8 3 2 2 3" xfId="2152" xr:uid="{00000000-0005-0000-0000-00006C080000}"/>
    <cellStyle name="Примечание 2 8 3 2 3" xfId="2153" xr:uid="{00000000-0005-0000-0000-00006D080000}"/>
    <cellStyle name="Примечание 2 8 3 2 3 2" xfId="2154" xr:uid="{00000000-0005-0000-0000-00006E080000}"/>
    <cellStyle name="Примечание 2 8 3 2 3 3" xfId="2155" xr:uid="{00000000-0005-0000-0000-00006F080000}"/>
    <cellStyle name="Примечание 2 8 3 2 4" xfId="2156" xr:uid="{00000000-0005-0000-0000-000070080000}"/>
    <cellStyle name="Примечание 2 8 3 2 4 2" xfId="2157" xr:uid="{00000000-0005-0000-0000-000071080000}"/>
    <cellStyle name="Примечание 2 8 3 2 4 3" xfId="2158" xr:uid="{00000000-0005-0000-0000-000072080000}"/>
    <cellStyle name="Примечание 2 8 3 2 5" xfId="2159" xr:uid="{00000000-0005-0000-0000-000073080000}"/>
    <cellStyle name="Примечание 2 8 3 2 6" xfId="2160" xr:uid="{00000000-0005-0000-0000-000074080000}"/>
    <cellStyle name="Примечание 2 8 3 3" xfId="2161" xr:uid="{00000000-0005-0000-0000-000075080000}"/>
    <cellStyle name="Примечание 2 8 3 3 2" xfId="2162" xr:uid="{00000000-0005-0000-0000-000076080000}"/>
    <cellStyle name="Примечание 2 8 3 3 2 2" xfId="2163" xr:uid="{00000000-0005-0000-0000-000077080000}"/>
    <cellStyle name="Примечание 2 8 3 3 2 3" xfId="2164" xr:uid="{00000000-0005-0000-0000-000078080000}"/>
    <cellStyle name="Примечание 2 8 3 3 3" xfId="2165" xr:uid="{00000000-0005-0000-0000-000079080000}"/>
    <cellStyle name="Примечание 2 8 3 3 3 2" xfId="2166" xr:uid="{00000000-0005-0000-0000-00007A080000}"/>
    <cellStyle name="Примечание 2 8 3 3 3 3" xfId="2167" xr:uid="{00000000-0005-0000-0000-00007B080000}"/>
    <cellStyle name="Примечание 2 8 3 3 4" xfId="2168" xr:uid="{00000000-0005-0000-0000-00007C080000}"/>
    <cellStyle name="Примечание 2 8 3 3 4 2" xfId="2169" xr:uid="{00000000-0005-0000-0000-00007D080000}"/>
    <cellStyle name="Примечание 2 8 3 3 4 3" xfId="2170" xr:uid="{00000000-0005-0000-0000-00007E080000}"/>
    <cellStyle name="Примечание 2 8 3 3 5" xfId="2171" xr:uid="{00000000-0005-0000-0000-00007F080000}"/>
    <cellStyle name="Примечание 2 8 3 3 6" xfId="2172" xr:uid="{00000000-0005-0000-0000-000080080000}"/>
    <cellStyle name="Примечание 2 8 3 4" xfId="2173" xr:uid="{00000000-0005-0000-0000-000081080000}"/>
    <cellStyle name="Примечание 2 8 3 4 2" xfId="2174" xr:uid="{00000000-0005-0000-0000-000082080000}"/>
    <cellStyle name="Примечание 2 8 3 4 2 2" xfId="2175" xr:uid="{00000000-0005-0000-0000-000083080000}"/>
    <cellStyle name="Примечание 2 8 3 4 2 3" xfId="2176" xr:uid="{00000000-0005-0000-0000-000084080000}"/>
    <cellStyle name="Примечание 2 8 3 4 3" xfId="2177" xr:uid="{00000000-0005-0000-0000-000085080000}"/>
    <cellStyle name="Примечание 2 8 3 4 3 2" xfId="2178" xr:uid="{00000000-0005-0000-0000-000086080000}"/>
    <cellStyle name="Примечание 2 8 3 4 3 3" xfId="2179" xr:uid="{00000000-0005-0000-0000-000087080000}"/>
    <cellStyle name="Примечание 2 8 3 4 4" xfId="2180" xr:uid="{00000000-0005-0000-0000-000088080000}"/>
    <cellStyle name="Примечание 2 8 3 4 4 2" xfId="2181" xr:uid="{00000000-0005-0000-0000-000089080000}"/>
    <cellStyle name="Примечание 2 8 3 4 4 3" xfId="2182" xr:uid="{00000000-0005-0000-0000-00008A080000}"/>
    <cellStyle name="Примечание 2 8 3 4 5" xfId="2183" xr:uid="{00000000-0005-0000-0000-00008B080000}"/>
    <cellStyle name="Примечание 2 8 3 4 6" xfId="2184" xr:uid="{00000000-0005-0000-0000-00008C080000}"/>
    <cellStyle name="Примечание 2 8 3 5" xfId="2185" xr:uid="{00000000-0005-0000-0000-00008D080000}"/>
    <cellStyle name="Примечание 2 8 3 5 2" xfId="2186" xr:uid="{00000000-0005-0000-0000-00008E080000}"/>
    <cellStyle name="Примечание 2 8 3 5 3" xfId="2187" xr:uid="{00000000-0005-0000-0000-00008F080000}"/>
    <cellStyle name="Примечание 2 8 3 6" xfId="2188" xr:uid="{00000000-0005-0000-0000-000090080000}"/>
    <cellStyle name="Примечание 2 8 3 6 2" xfId="2189" xr:uid="{00000000-0005-0000-0000-000091080000}"/>
    <cellStyle name="Примечание 2 8 3 6 3" xfId="2190" xr:uid="{00000000-0005-0000-0000-000092080000}"/>
    <cellStyle name="Примечание 2 8 3 7" xfId="2191" xr:uid="{00000000-0005-0000-0000-000093080000}"/>
    <cellStyle name="Примечание 2 8 3 7 2" xfId="2192" xr:uid="{00000000-0005-0000-0000-000094080000}"/>
    <cellStyle name="Примечание 2 8 3 7 3" xfId="2193" xr:uid="{00000000-0005-0000-0000-000095080000}"/>
    <cellStyle name="Примечание 2 8 3 8" xfId="2194" xr:uid="{00000000-0005-0000-0000-000096080000}"/>
    <cellStyle name="Примечание 2 8 3 9" xfId="2195" xr:uid="{00000000-0005-0000-0000-000097080000}"/>
    <cellStyle name="Примечание 2 8 4" xfId="2196" xr:uid="{00000000-0005-0000-0000-000098080000}"/>
    <cellStyle name="Примечание 2 8 4 2" xfId="2197" xr:uid="{00000000-0005-0000-0000-000099080000}"/>
    <cellStyle name="Примечание 2 8 4 2 2" xfId="2198" xr:uid="{00000000-0005-0000-0000-00009A080000}"/>
    <cellStyle name="Примечание 2 8 4 2 2 2" xfId="2199" xr:uid="{00000000-0005-0000-0000-00009B080000}"/>
    <cellStyle name="Примечание 2 8 4 2 2 3" xfId="2200" xr:uid="{00000000-0005-0000-0000-00009C080000}"/>
    <cellStyle name="Примечание 2 8 4 2 3" xfId="2201" xr:uid="{00000000-0005-0000-0000-00009D080000}"/>
    <cellStyle name="Примечание 2 8 4 2 3 2" xfId="2202" xr:uid="{00000000-0005-0000-0000-00009E080000}"/>
    <cellStyle name="Примечание 2 8 4 2 3 3" xfId="2203" xr:uid="{00000000-0005-0000-0000-00009F080000}"/>
    <cellStyle name="Примечание 2 8 4 2 4" xfId="2204" xr:uid="{00000000-0005-0000-0000-0000A0080000}"/>
    <cellStyle name="Примечание 2 8 4 2 4 2" xfId="2205" xr:uid="{00000000-0005-0000-0000-0000A1080000}"/>
    <cellStyle name="Примечание 2 8 4 2 4 3" xfId="2206" xr:uid="{00000000-0005-0000-0000-0000A2080000}"/>
    <cellStyle name="Примечание 2 8 4 2 5" xfId="2207" xr:uid="{00000000-0005-0000-0000-0000A3080000}"/>
    <cellStyle name="Примечание 2 8 4 2 6" xfId="2208" xr:uid="{00000000-0005-0000-0000-0000A4080000}"/>
    <cellStyle name="Примечание 2 8 4 3" xfId="2209" xr:uid="{00000000-0005-0000-0000-0000A5080000}"/>
    <cellStyle name="Примечание 2 8 4 3 2" xfId="2210" xr:uid="{00000000-0005-0000-0000-0000A6080000}"/>
    <cellStyle name="Примечание 2 8 4 3 2 2" xfId="2211" xr:uid="{00000000-0005-0000-0000-0000A7080000}"/>
    <cellStyle name="Примечание 2 8 4 3 2 3" xfId="2212" xr:uid="{00000000-0005-0000-0000-0000A8080000}"/>
    <cellStyle name="Примечание 2 8 4 3 3" xfId="2213" xr:uid="{00000000-0005-0000-0000-0000A9080000}"/>
    <cellStyle name="Примечание 2 8 4 3 3 2" xfId="2214" xr:uid="{00000000-0005-0000-0000-0000AA080000}"/>
    <cellStyle name="Примечание 2 8 4 3 3 3" xfId="2215" xr:uid="{00000000-0005-0000-0000-0000AB080000}"/>
    <cellStyle name="Примечание 2 8 4 3 4" xfId="2216" xr:uid="{00000000-0005-0000-0000-0000AC080000}"/>
    <cellStyle name="Примечание 2 8 4 3 4 2" xfId="2217" xr:uid="{00000000-0005-0000-0000-0000AD080000}"/>
    <cellStyle name="Примечание 2 8 4 3 4 3" xfId="2218" xr:uid="{00000000-0005-0000-0000-0000AE080000}"/>
    <cellStyle name="Примечание 2 8 4 3 5" xfId="2219" xr:uid="{00000000-0005-0000-0000-0000AF080000}"/>
    <cellStyle name="Примечание 2 8 4 3 6" xfId="2220" xr:uid="{00000000-0005-0000-0000-0000B0080000}"/>
    <cellStyle name="Примечание 2 8 4 4" xfId="2221" xr:uid="{00000000-0005-0000-0000-0000B1080000}"/>
    <cellStyle name="Примечание 2 8 4 4 2" xfId="2222" xr:uid="{00000000-0005-0000-0000-0000B2080000}"/>
    <cellStyle name="Примечание 2 8 4 4 2 2" xfId="2223" xr:uid="{00000000-0005-0000-0000-0000B3080000}"/>
    <cellStyle name="Примечание 2 8 4 4 2 3" xfId="2224" xr:uid="{00000000-0005-0000-0000-0000B4080000}"/>
    <cellStyle name="Примечание 2 8 4 4 3" xfId="2225" xr:uid="{00000000-0005-0000-0000-0000B5080000}"/>
    <cellStyle name="Примечание 2 8 4 4 3 2" xfId="2226" xr:uid="{00000000-0005-0000-0000-0000B6080000}"/>
    <cellStyle name="Примечание 2 8 4 4 3 3" xfId="2227" xr:uid="{00000000-0005-0000-0000-0000B7080000}"/>
    <cellStyle name="Примечание 2 8 4 4 4" xfId="2228" xr:uid="{00000000-0005-0000-0000-0000B8080000}"/>
    <cellStyle name="Примечание 2 8 4 4 4 2" xfId="2229" xr:uid="{00000000-0005-0000-0000-0000B9080000}"/>
    <cellStyle name="Примечание 2 8 4 4 4 3" xfId="2230" xr:uid="{00000000-0005-0000-0000-0000BA080000}"/>
    <cellStyle name="Примечание 2 8 4 4 5" xfId="2231" xr:uid="{00000000-0005-0000-0000-0000BB080000}"/>
    <cellStyle name="Примечание 2 8 4 4 6" xfId="2232" xr:uid="{00000000-0005-0000-0000-0000BC080000}"/>
    <cellStyle name="Примечание 2 8 4 5" xfId="2233" xr:uid="{00000000-0005-0000-0000-0000BD080000}"/>
    <cellStyle name="Примечание 2 8 4 5 2" xfId="2234" xr:uid="{00000000-0005-0000-0000-0000BE080000}"/>
    <cellStyle name="Примечание 2 8 4 5 3" xfId="2235" xr:uid="{00000000-0005-0000-0000-0000BF080000}"/>
    <cellStyle name="Примечание 2 8 4 6" xfId="2236" xr:uid="{00000000-0005-0000-0000-0000C0080000}"/>
    <cellStyle name="Примечание 2 8 4 6 2" xfId="2237" xr:uid="{00000000-0005-0000-0000-0000C1080000}"/>
    <cellStyle name="Примечание 2 8 4 6 3" xfId="2238" xr:uid="{00000000-0005-0000-0000-0000C2080000}"/>
    <cellStyle name="Примечание 2 8 4 7" xfId="2239" xr:uid="{00000000-0005-0000-0000-0000C3080000}"/>
    <cellStyle name="Примечание 2 8 4 7 2" xfId="2240" xr:uid="{00000000-0005-0000-0000-0000C4080000}"/>
    <cellStyle name="Примечание 2 8 4 7 3" xfId="2241" xr:uid="{00000000-0005-0000-0000-0000C5080000}"/>
    <cellStyle name="Примечание 2 8 4 8" xfId="2242" xr:uid="{00000000-0005-0000-0000-0000C6080000}"/>
    <cellStyle name="Примечание 2 8 4 9" xfId="2243" xr:uid="{00000000-0005-0000-0000-0000C7080000}"/>
    <cellStyle name="Примечание 2 8 5" xfId="2244" xr:uid="{00000000-0005-0000-0000-0000C8080000}"/>
    <cellStyle name="Примечание 2 8 5 2" xfId="2245" xr:uid="{00000000-0005-0000-0000-0000C9080000}"/>
    <cellStyle name="Примечание 2 8 5 2 2" xfId="2246" xr:uid="{00000000-0005-0000-0000-0000CA080000}"/>
    <cellStyle name="Примечание 2 8 5 2 3" xfId="2247" xr:uid="{00000000-0005-0000-0000-0000CB080000}"/>
    <cellStyle name="Примечание 2 8 5 3" xfId="2248" xr:uid="{00000000-0005-0000-0000-0000CC080000}"/>
    <cellStyle name="Примечание 2 8 5 3 2" xfId="2249" xr:uid="{00000000-0005-0000-0000-0000CD080000}"/>
    <cellStyle name="Примечание 2 8 5 3 3" xfId="2250" xr:uid="{00000000-0005-0000-0000-0000CE080000}"/>
    <cellStyle name="Примечание 2 8 5 4" xfId="2251" xr:uid="{00000000-0005-0000-0000-0000CF080000}"/>
    <cellStyle name="Примечание 2 8 5 4 2" xfId="2252" xr:uid="{00000000-0005-0000-0000-0000D0080000}"/>
    <cellStyle name="Примечание 2 8 5 4 3" xfId="2253" xr:uid="{00000000-0005-0000-0000-0000D1080000}"/>
    <cellStyle name="Примечание 2 8 5 5" xfId="2254" xr:uid="{00000000-0005-0000-0000-0000D2080000}"/>
    <cellStyle name="Примечание 2 8 5 6" xfId="2255" xr:uid="{00000000-0005-0000-0000-0000D3080000}"/>
    <cellStyle name="Примечание 2 8 6" xfId="2256" xr:uid="{00000000-0005-0000-0000-0000D4080000}"/>
    <cellStyle name="Примечание 2 8 6 2" xfId="2257" xr:uid="{00000000-0005-0000-0000-0000D5080000}"/>
    <cellStyle name="Примечание 2 8 6 2 2" xfId="2258" xr:uid="{00000000-0005-0000-0000-0000D6080000}"/>
    <cellStyle name="Примечание 2 8 6 2 3" xfId="2259" xr:uid="{00000000-0005-0000-0000-0000D7080000}"/>
    <cellStyle name="Примечание 2 8 6 3" xfId="2260" xr:uid="{00000000-0005-0000-0000-0000D8080000}"/>
    <cellStyle name="Примечание 2 8 6 3 2" xfId="2261" xr:uid="{00000000-0005-0000-0000-0000D9080000}"/>
    <cellStyle name="Примечание 2 8 6 3 3" xfId="2262" xr:uid="{00000000-0005-0000-0000-0000DA080000}"/>
    <cellStyle name="Примечание 2 8 6 4" xfId="2263" xr:uid="{00000000-0005-0000-0000-0000DB080000}"/>
    <cellStyle name="Примечание 2 8 6 4 2" xfId="2264" xr:uid="{00000000-0005-0000-0000-0000DC080000}"/>
    <cellStyle name="Примечание 2 8 6 4 3" xfId="2265" xr:uid="{00000000-0005-0000-0000-0000DD080000}"/>
    <cellStyle name="Примечание 2 8 6 5" xfId="2266" xr:uid="{00000000-0005-0000-0000-0000DE080000}"/>
    <cellStyle name="Примечание 2 8 6 6" xfId="2267" xr:uid="{00000000-0005-0000-0000-0000DF080000}"/>
    <cellStyle name="Примечание 2 8 7" xfId="2268" xr:uid="{00000000-0005-0000-0000-0000E0080000}"/>
    <cellStyle name="Примечание 2 8 7 2" xfId="2269" xr:uid="{00000000-0005-0000-0000-0000E1080000}"/>
    <cellStyle name="Примечание 2 8 7 2 2" xfId="2270" xr:uid="{00000000-0005-0000-0000-0000E2080000}"/>
    <cellStyle name="Примечание 2 8 7 2 3" xfId="2271" xr:uid="{00000000-0005-0000-0000-0000E3080000}"/>
    <cellStyle name="Примечание 2 8 7 3" xfId="2272" xr:uid="{00000000-0005-0000-0000-0000E4080000}"/>
    <cellStyle name="Примечание 2 8 7 3 2" xfId="2273" xr:uid="{00000000-0005-0000-0000-0000E5080000}"/>
    <cellStyle name="Примечание 2 8 7 3 3" xfId="2274" xr:uid="{00000000-0005-0000-0000-0000E6080000}"/>
    <cellStyle name="Примечание 2 8 7 4" xfId="2275" xr:uid="{00000000-0005-0000-0000-0000E7080000}"/>
    <cellStyle name="Примечание 2 8 7 4 2" xfId="2276" xr:uid="{00000000-0005-0000-0000-0000E8080000}"/>
    <cellStyle name="Примечание 2 8 7 4 3" xfId="2277" xr:uid="{00000000-0005-0000-0000-0000E9080000}"/>
    <cellStyle name="Примечание 2 8 7 5" xfId="2278" xr:uid="{00000000-0005-0000-0000-0000EA080000}"/>
    <cellStyle name="Примечание 2 8 7 6" xfId="2279" xr:uid="{00000000-0005-0000-0000-0000EB080000}"/>
    <cellStyle name="Примечание 2 8 8" xfId="2280" xr:uid="{00000000-0005-0000-0000-0000EC080000}"/>
    <cellStyle name="Примечание 2 8 8 2" xfId="2281" xr:uid="{00000000-0005-0000-0000-0000ED080000}"/>
    <cellStyle name="Примечание 2 8 8 3" xfId="2282" xr:uid="{00000000-0005-0000-0000-0000EE080000}"/>
    <cellStyle name="Примечание 2 8 9" xfId="2283" xr:uid="{00000000-0005-0000-0000-0000EF080000}"/>
    <cellStyle name="Примечание 2 8 9 2" xfId="2284" xr:uid="{00000000-0005-0000-0000-0000F0080000}"/>
    <cellStyle name="Примечание 2 8 9 3" xfId="2285" xr:uid="{00000000-0005-0000-0000-0000F1080000}"/>
    <cellStyle name="Примечание 2 9" xfId="2286" xr:uid="{00000000-0005-0000-0000-0000F2080000}"/>
    <cellStyle name="Примечание 2 9 10" xfId="2287" xr:uid="{00000000-0005-0000-0000-0000F3080000}"/>
    <cellStyle name="Примечание 2 9 10 2" xfId="2288" xr:uid="{00000000-0005-0000-0000-0000F4080000}"/>
    <cellStyle name="Примечание 2 9 10 3" xfId="2289" xr:uid="{00000000-0005-0000-0000-0000F5080000}"/>
    <cellStyle name="Примечание 2 9 11" xfId="2290" xr:uid="{00000000-0005-0000-0000-0000F6080000}"/>
    <cellStyle name="Примечание 2 9 12" xfId="2291" xr:uid="{00000000-0005-0000-0000-0000F7080000}"/>
    <cellStyle name="Примечание 2 9 2" xfId="2292" xr:uid="{00000000-0005-0000-0000-0000F8080000}"/>
    <cellStyle name="Примечание 2 9 2 2" xfId="2293" xr:uid="{00000000-0005-0000-0000-0000F9080000}"/>
    <cellStyle name="Примечание 2 9 2 2 2" xfId="2294" xr:uid="{00000000-0005-0000-0000-0000FA080000}"/>
    <cellStyle name="Примечание 2 9 2 2 2 2" xfId="2295" xr:uid="{00000000-0005-0000-0000-0000FB080000}"/>
    <cellStyle name="Примечание 2 9 2 2 2 3" xfId="2296" xr:uid="{00000000-0005-0000-0000-0000FC080000}"/>
    <cellStyle name="Примечание 2 9 2 2 3" xfId="2297" xr:uid="{00000000-0005-0000-0000-0000FD080000}"/>
    <cellStyle name="Примечание 2 9 2 2 3 2" xfId="2298" xr:uid="{00000000-0005-0000-0000-0000FE080000}"/>
    <cellStyle name="Примечание 2 9 2 2 3 3" xfId="2299" xr:uid="{00000000-0005-0000-0000-0000FF080000}"/>
    <cellStyle name="Примечание 2 9 2 2 4" xfId="2300" xr:uid="{00000000-0005-0000-0000-000000090000}"/>
    <cellStyle name="Примечание 2 9 2 2 4 2" xfId="2301" xr:uid="{00000000-0005-0000-0000-000001090000}"/>
    <cellStyle name="Примечание 2 9 2 2 4 3" xfId="2302" xr:uid="{00000000-0005-0000-0000-000002090000}"/>
    <cellStyle name="Примечание 2 9 2 2 5" xfId="2303" xr:uid="{00000000-0005-0000-0000-000003090000}"/>
    <cellStyle name="Примечание 2 9 2 2 6" xfId="2304" xr:uid="{00000000-0005-0000-0000-000004090000}"/>
    <cellStyle name="Примечание 2 9 2 3" xfId="2305" xr:uid="{00000000-0005-0000-0000-000005090000}"/>
    <cellStyle name="Примечание 2 9 2 3 2" xfId="2306" xr:uid="{00000000-0005-0000-0000-000006090000}"/>
    <cellStyle name="Примечание 2 9 2 3 2 2" xfId="2307" xr:uid="{00000000-0005-0000-0000-000007090000}"/>
    <cellStyle name="Примечание 2 9 2 3 2 3" xfId="2308" xr:uid="{00000000-0005-0000-0000-000008090000}"/>
    <cellStyle name="Примечание 2 9 2 3 3" xfId="2309" xr:uid="{00000000-0005-0000-0000-000009090000}"/>
    <cellStyle name="Примечание 2 9 2 3 3 2" xfId="2310" xr:uid="{00000000-0005-0000-0000-00000A090000}"/>
    <cellStyle name="Примечание 2 9 2 3 3 3" xfId="2311" xr:uid="{00000000-0005-0000-0000-00000B090000}"/>
    <cellStyle name="Примечание 2 9 2 3 4" xfId="2312" xr:uid="{00000000-0005-0000-0000-00000C090000}"/>
    <cellStyle name="Примечание 2 9 2 3 4 2" xfId="2313" xr:uid="{00000000-0005-0000-0000-00000D090000}"/>
    <cellStyle name="Примечание 2 9 2 3 4 3" xfId="2314" xr:uid="{00000000-0005-0000-0000-00000E090000}"/>
    <cellStyle name="Примечание 2 9 2 3 5" xfId="2315" xr:uid="{00000000-0005-0000-0000-00000F090000}"/>
    <cellStyle name="Примечание 2 9 2 3 6" xfId="2316" xr:uid="{00000000-0005-0000-0000-000010090000}"/>
    <cellStyle name="Примечание 2 9 2 4" xfId="2317" xr:uid="{00000000-0005-0000-0000-000011090000}"/>
    <cellStyle name="Примечание 2 9 2 4 2" xfId="2318" xr:uid="{00000000-0005-0000-0000-000012090000}"/>
    <cellStyle name="Примечание 2 9 2 4 2 2" xfId="2319" xr:uid="{00000000-0005-0000-0000-000013090000}"/>
    <cellStyle name="Примечание 2 9 2 4 2 3" xfId="2320" xr:uid="{00000000-0005-0000-0000-000014090000}"/>
    <cellStyle name="Примечание 2 9 2 4 3" xfId="2321" xr:uid="{00000000-0005-0000-0000-000015090000}"/>
    <cellStyle name="Примечание 2 9 2 4 3 2" xfId="2322" xr:uid="{00000000-0005-0000-0000-000016090000}"/>
    <cellStyle name="Примечание 2 9 2 4 3 3" xfId="2323" xr:uid="{00000000-0005-0000-0000-000017090000}"/>
    <cellStyle name="Примечание 2 9 2 4 4" xfId="2324" xr:uid="{00000000-0005-0000-0000-000018090000}"/>
    <cellStyle name="Примечание 2 9 2 4 4 2" xfId="2325" xr:uid="{00000000-0005-0000-0000-000019090000}"/>
    <cellStyle name="Примечание 2 9 2 4 4 3" xfId="2326" xr:uid="{00000000-0005-0000-0000-00001A090000}"/>
    <cellStyle name="Примечание 2 9 2 4 5" xfId="2327" xr:uid="{00000000-0005-0000-0000-00001B090000}"/>
    <cellStyle name="Примечание 2 9 2 4 6" xfId="2328" xr:uid="{00000000-0005-0000-0000-00001C090000}"/>
    <cellStyle name="Примечание 2 9 2 5" xfId="2329" xr:uid="{00000000-0005-0000-0000-00001D090000}"/>
    <cellStyle name="Примечание 2 9 2 5 2" xfId="2330" xr:uid="{00000000-0005-0000-0000-00001E090000}"/>
    <cellStyle name="Примечание 2 9 2 5 3" xfId="2331" xr:uid="{00000000-0005-0000-0000-00001F090000}"/>
    <cellStyle name="Примечание 2 9 2 6" xfId="2332" xr:uid="{00000000-0005-0000-0000-000020090000}"/>
    <cellStyle name="Примечание 2 9 2 6 2" xfId="2333" xr:uid="{00000000-0005-0000-0000-000021090000}"/>
    <cellStyle name="Примечание 2 9 2 6 3" xfId="2334" xr:uid="{00000000-0005-0000-0000-000022090000}"/>
    <cellStyle name="Примечание 2 9 2 7" xfId="2335" xr:uid="{00000000-0005-0000-0000-000023090000}"/>
    <cellStyle name="Примечание 2 9 2 7 2" xfId="2336" xr:uid="{00000000-0005-0000-0000-000024090000}"/>
    <cellStyle name="Примечание 2 9 2 7 3" xfId="2337" xr:uid="{00000000-0005-0000-0000-000025090000}"/>
    <cellStyle name="Примечание 2 9 2 8" xfId="2338" xr:uid="{00000000-0005-0000-0000-000026090000}"/>
    <cellStyle name="Примечание 2 9 2 9" xfId="2339" xr:uid="{00000000-0005-0000-0000-000027090000}"/>
    <cellStyle name="Примечание 2 9 3" xfId="2340" xr:uid="{00000000-0005-0000-0000-000028090000}"/>
    <cellStyle name="Примечание 2 9 3 2" xfId="2341" xr:uid="{00000000-0005-0000-0000-000029090000}"/>
    <cellStyle name="Примечание 2 9 3 2 2" xfId="2342" xr:uid="{00000000-0005-0000-0000-00002A090000}"/>
    <cellStyle name="Примечание 2 9 3 2 2 2" xfId="2343" xr:uid="{00000000-0005-0000-0000-00002B090000}"/>
    <cellStyle name="Примечание 2 9 3 2 2 3" xfId="2344" xr:uid="{00000000-0005-0000-0000-00002C090000}"/>
    <cellStyle name="Примечание 2 9 3 2 3" xfId="2345" xr:uid="{00000000-0005-0000-0000-00002D090000}"/>
    <cellStyle name="Примечание 2 9 3 2 3 2" xfId="2346" xr:uid="{00000000-0005-0000-0000-00002E090000}"/>
    <cellStyle name="Примечание 2 9 3 2 3 3" xfId="2347" xr:uid="{00000000-0005-0000-0000-00002F090000}"/>
    <cellStyle name="Примечание 2 9 3 2 4" xfId="2348" xr:uid="{00000000-0005-0000-0000-000030090000}"/>
    <cellStyle name="Примечание 2 9 3 2 4 2" xfId="2349" xr:uid="{00000000-0005-0000-0000-000031090000}"/>
    <cellStyle name="Примечание 2 9 3 2 4 3" xfId="2350" xr:uid="{00000000-0005-0000-0000-000032090000}"/>
    <cellStyle name="Примечание 2 9 3 2 5" xfId="2351" xr:uid="{00000000-0005-0000-0000-000033090000}"/>
    <cellStyle name="Примечание 2 9 3 2 6" xfId="2352" xr:uid="{00000000-0005-0000-0000-000034090000}"/>
    <cellStyle name="Примечание 2 9 3 3" xfId="2353" xr:uid="{00000000-0005-0000-0000-000035090000}"/>
    <cellStyle name="Примечание 2 9 3 3 2" xfId="2354" xr:uid="{00000000-0005-0000-0000-000036090000}"/>
    <cellStyle name="Примечание 2 9 3 3 2 2" xfId="2355" xr:uid="{00000000-0005-0000-0000-000037090000}"/>
    <cellStyle name="Примечание 2 9 3 3 2 3" xfId="2356" xr:uid="{00000000-0005-0000-0000-000038090000}"/>
    <cellStyle name="Примечание 2 9 3 3 3" xfId="2357" xr:uid="{00000000-0005-0000-0000-000039090000}"/>
    <cellStyle name="Примечание 2 9 3 3 3 2" xfId="2358" xr:uid="{00000000-0005-0000-0000-00003A090000}"/>
    <cellStyle name="Примечание 2 9 3 3 3 3" xfId="2359" xr:uid="{00000000-0005-0000-0000-00003B090000}"/>
    <cellStyle name="Примечание 2 9 3 3 4" xfId="2360" xr:uid="{00000000-0005-0000-0000-00003C090000}"/>
    <cellStyle name="Примечание 2 9 3 3 4 2" xfId="2361" xr:uid="{00000000-0005-0000-0000-00003D090000}"/>
    <cellStyle name="Примечание 2 9 3 3 4 3" xfId="2362" xr:uid="{00000000-0005-0000-0000-00003E090000}"/>
    <cellStyle name="Примечание 2 9 3 3 5" xfId="2363" xr:uid="{00000000-0005-0000-0000-00003F090000}"/>
    <cellStyle name="Примечание 2 9 3 3 6" xfId="2364" xr:uid="{00000000-0005-0000-0000-000040090000}"/>
    <cellStyle name="Примечание 2 9 3 4" xfId="2365" xr:uid="{00000000-0005-0000-0000-000041090000}"/>
    <cellStyle name="Примечание 2 9 3 4 2" xfId="2366" xr:uid="{00000000-0005-0000-0000-000042090000}"/>
    <cellStyle name="Примечание 2 9 3 4 2 2" xfId="2367" xr:uid="{00000000-0005-0000-0000-000043090000}"/>
    <cellStyle name="Примечание 2 9 3 4 2 3" xfId="2368" xr:uid="{00000000-0005-0000-0000-000044090000}"/>
    <cellStyle name="Примечание 2 9 3 4 3" xfId="2369" xr:uid="{00000000-0005-0000-0000-000045090000}"/>
    <cellStyle name="Примечание 2 9 3 4 3 2" xfId="2370" xr:uid="{00000000-0005-0000-0000-000046090000}"/>
    <cellStyle name="Примечание 2 9 3 4 3 3" xfId="2371" xr:uid="{00000000-0005-0000-0000-000047090000}"/>
    <cellStyle name="Примечание 2 9 3 4 4" xfId="2372" xr:uid="{00000000-0005-0000-0000-000048090000}"/>
    <cellStyle name="Примечание 2 9 3 4 4 2" xfId="2373" xr:uid="{00000000-0005-0000-0000-000049090000}"/>
    <cellStyle name="Примечание 2 9 3 4 4 3" xfId="2374" xr:uid="{00000000-0005-0000-0000-00004A090000}"/>
    <cellStyle name="Примечание 2 9 3 4 5" xfId="2375" xr:uid="{00000000-0005-0000-0000-00004B090000}"/>
    <cellStyle name="Примечание 2 9 3 4 6" xfId="2376" xr:uid="{00000000-0005-0000-0000-00004C090000}"/>
    <cellStyle name="Примечание 2 9 3 5" xfId="2377" xr:uid="{00000000-0005-0000-0000-00004D090000}"/>
    <cellStyle name="Примечание 2 9 3 5 2" xfId="2378" xr:uid="{00000000-0005-0000-0000-00004E090000}"/>
    <cellStyle name="Примечание 2 9 3 5 3" xfId="2379" xr:uid="{00000000-0005-0000-0000-00004F090000}"/>
    <cellStyle name="Примечание 2 9 3 6" xfId="2380" xr:uid="{00000000-0005-0000-0000-000050090000}"/>
    <cellStyle name="Примечание 2 9 3 6 2" xfId="2381" xr:uid="{00000000-0005-0000-0000-000051090000}"/>
    <cellStyle name="Примечание 2 9 3 6 3" xfId="2382" xr:uid="{00000000-0005-0000-0000-000052090000}"/>
    <cellStyle name="Примечание 2 9 3 7" xfId="2383" xr:uid="{00000000-0005-0000-0000-000053090000}"/>
    <cellStyle name="Примечание 2 9 3 7 2" xfId="2384" xr:uid="{00000000-0005-0000-0000-000054090000}"/>
    <cellStyle name="Примечание 2 9 3 7 3" xfId="2385" xr:uid="{00000000-0005-0000-0000-000055090000}"/>
    <cellStyle name="Примечание 2 9 3 8" xfId="2386" xr:uid="{00000000-0005-0000-0000-000056090000}"/>
    <cellStyle name="Примечание 2 9 3 9" xfId="2387" xr:uid="{00000000-0005-0000-0000-000057090000}"/>
    <cellStyle name="Примечание 2 9 4" xfId="2388" xr:uid="{00000000-0005-0000-0000-000058090000}"/>
    <cellStyle name="Примечание 2 9 4 2" xfId="2389" xr:uid="{00000000-0005-0000-0000-000059090000}"/>
    <cellStyle name="Примечание 2 9 4 2 2" xfId="2390" xr:uid="{00000000-0005-0000-0000-00005A090000}"/>
    <cellStyle name="Примечание 2 9 4 2 2 2" xfId="2391" xr:uid="{00000000-0005-0000-0000-00005B090000}"/>
    <cellStyle name="Примечание 2 9 4 2 2 3" xfId="2392" xr:uid="{00000000-0005-0000-0000-00005C090000}"/>
    <cellStyle name="Примечание 2 9 4 2 3" xfId="2393" xr:uid="{00000000-0005-0000-0000-00005D090000}"/>
    <cellStyle name="Примечание 2 9 4 2 3 2" xfId="2394" xr:uid="{00000000-0005-0000-0000-00005E090000}"/>
    <cellStyle name="Примечание 2 9 4 2 3 3" xfId="2395" xr:uid="{00000000-0005-0000-0000-00005F090000}"/>
    <cellStyle name="Примечание 2 9 4 2 4" xfId="2396" xr:uid="{00000000-0005-0000-0000-000060090000}"/>
    <cellStyle name="Примечание 2 9 4 2 4 2" xfId="2397" xr:uid="{00000000-0005-0000-0000-000061090000}"/>
    <cellStyle name="Примечание 2 9 4 2 4 3" xfId="2398" xr:uid="{00000000-0005-0000-0000-000062090000}"/>
    <cellStyle name="Примечание 2 9 4 2 5" xfId="2399" xr:uid="{00000000-0005-0000-0000-000063090000}"/>
    <cellStyle name="Примечание 2 9 4 2 6" xfId="2400" xr:uid="{00000000-0005-0000-0000-000064090000}"/>
    <cellStyle name="Примечание 2 9 4 3" xfId="2401" xr:uid="{00000000-0005-0000-0000-000065090000}"/>
    <cellStyle name="Примечание 2 9 4 3 2" xfId="2402" xr:uid="{00000000-0005-0000-0000-000066090000}"/>
    <cellStyle name="Примечание 2 9 4 3 2 2" xfId="2403" xr:uid="{00000000-0005-0000-0000-000067090000}"/>
    <cellStyle name="Примечание 2 9 4 3 2 3" xfId="2404" xr:uid="{00000000-0005-0000-0000-000068090000}"/>
    <cellStyle name="Примечание 2 9 4 3 3" xfId="2405" xr:uid="{00000000-0005-0000-0000-000069090000}"/>
    <cellStyle name="Примечание 2 9 4 3 3 2" xfId="2406" xr:uid="{00000000-0005-0000-0000-00006A090000}"/>
    <cellStyle name="Примечание 2 9 4 3 3 3" xfId="2407" xr:uid="{00000000-0005-0000-0000-00006B090000}"/>
    <cellStyle name="Примечание 2 9 4 3 4" xfId="2408" xr:uid="{00000000-0005-0000-0000-00006C090000}"/>
    <cellStyle name="Примечание 2 9 4 3 4 2" xfId="2409" xr:uid="{00000000-0005-0000-0000-00006D090000}"/>
    <cellStyle name="Примечание 2 9 4 3 4 3" xfId="2410" xr:uid="{00000000-0005-0000-0000-00006E090000}"/>
    <cellStyle name="Примечание 2 9 4 3 5" xfId="2411" xr:uid="{00000000-0005-0000-0000-00006F090000}"/>
    <cellStyle name="Примечание 2 9 4 3 6" xfId="2412" xr:uid="{00000000-0005-0000-0000-000070090000}"/>
    <cellStyle name="Примечание 2 9 4 4" xfId="2413" xr:uid="{00000000-0005-0000-0000-000071090000}"/>
    <cellStyle name="Примечание 2 9 4 4 2" xfId="2414" xr:uid="{00000000-0005-0000-0000-000072090000}"/>
    <cellStyle name="Примечание 2 9 4 4 2 2" xfId="2415" xr:uid="{00000000-0005-0000-0000-000073090000}"/>
    <cellStyle name="Примечание 2 9 4 4 2 3" xfId="2416" xr:uid="{00000000-0005-0000-0000-000074090000}"/>
    <cellStyle name="Примечание 2 9 4 4 3" xfId="2417" xr:uid="{00000000-0005-0000-0000-000075090000}"/>
    <cellStyle name="Примечание 2 9 4 4 3 2" xfId="2418" xr:uid="{00000000-0005-0000-0000-000076090000}"/>
    <cellStyle name="Примечание 2 9 4 4 3 3" xfId="2419" xr:uid="{00000000-0005-0000-0000-000077090000}"/>
    <cellStyle name="Примечание 2 9 4 4 4" xfId="2420" xr:uid="{00000000-0005-0000-0000-000078090000}"/>
    <cellStyle name="Примечание 2 9 4 4 4 2" xfId="2421" xr:uid="{00000000-0005-0000-0000-000079090000}"/>
    <cellStyle name="Примечание 2 9 4 4 4 3" xfId="2422" xr:uid="{00000000-0005-0000-0000-00007A090000}"/>
    <cellStyle name="Примечание 2 9 4 4 5" xfId="2423" xr:uid="{00000000-0005-0000-0000-00007B090000}"/>
    <cellStyle name="Примечание 2 9 4 4 6" xfId="2424" xr:uid="{00000000-0005-0000-0000-00007C090000}"/>
    <cellStyle name="Примечание 2 9 4 5" xfId="2425" xr:uid="{00000000-0005-0000-0000-00007D090000}"/>
    <cellStyle name="Примечание 2 9 4 5 2" xfId="2426" xr:uid="{00000000-0005-0000-0000-00007E090000}"/>
    <cellStyle name="Примечание 2 9 4 5 3" xfId="2427" xr:uid="{00000000-0005-0000-0000-00007F090000}"/>
    <cellStyle name="Примечание 2 9 4 6" xfId="2428" xr:uid="{00000000-0005-0000-0000-000080090000}"/>
    <cellStyle name="Примечание 2 9 4 6 2" xfId="2429" xr:uid="{00000000-0005-0000-0000-000081090000}"/>
    <cellStyle name="Примечание 2 9 4 6 3" xfId="2430" xr:uid="{00000000-0005-0000-0000-000082090000}"/>
    <cellStyle name="Примечание 2 9 4 7" xfId="2431" xr:uid="{00000000-0005-0000-0000-000083090000}"/>
    <cellStyle name="Примечание 2 9 4 7 2" xfId="2432" xr:uid="{00000000-0005-0000-0000-000084090000}"/>
    <cellStyle name="Примечание 2 9 4 7 3" xfId="2433" xr:uid="{00000000-0005-0000-0000-000085090000}"/>
    <cellStyle name="Примечание 2 9 4 8" xfId="2434" xr:uid="{00000000-0005-0000-0000-000086090000}"/>
    <cellStyle name="Примечание 2 9 4 9" xfId="2435" xr:uid="{00000000-0005-0000-0000-000087090000}"/>
    <cellStyle name="Примечание 2 9 5" xfId="2436" xr:uid="{00000000-0005-0000-0000-000088090000}"/>
    <cellStyle name="Примечание 2 9 5 2" xfId="2437" xr:uid="{00000000-0005-0000-0000-000089090000}"/>
    <cellStyle name="Примечание 2 9 5 2 2" xfId="2438" xr:uid="{00000000-0005-0000-0000-00008A090000}"/>
    <cellStyle name="Примечание 2 9 5 2 3" xfId="2439" xr:uid="{00000000-0005-0000-0000-00008B090000}"/>
    <cellStyle name="Примечание 2 9 5 3" xfId="2440" xr:uid="{00000000-0005-0000-0000-00008C090000}"/>
    <cellStyle name="Примечание 2 9 5 3 2" xfId="2441" xr:uid="{00000000-0005-0000-0000-00008D090000}"/>
    <cellStyle name="Примечание 2 9 5 3 3" xfId="2442" xr:uid="{00000000-0005-0000-0000-00008E090000}"/>
    <cellStyle name="Примечание 2 9 5 4" xfId="2443" xr:uid="{00000000-0005-0000-0000-00008F090000}"/>
    <cellStyle name="Примечание 2 9 5 4 2" xfId="2444" xr:uid="{00000000-0005-0000-0000-000090090000}"/>
    <cellStyle name="Примечание 2 9 5 4 3" xfId="2445" xr:uid="{00000000-0005-0000-0000-000091090000}"/>
    <cellStyle name="Примечание 2 9 5 5" xfId="2446" xr:uid="{00000000-0005-0000-0000-000092090000}"/>
    <cellStyle name="Примечание 2 9 5 6" xfId="2447" xr:uid="{00000000-0005-0000-0000-000093090000}"/>
    <cellStyle name="Примечание 2 9 6" xfId="2448" xr:uid="{00000000-0005-0000-0000-000094090000}"/>
    <cellStyle name="Примечание 2 9 6 2" xfId="2449" xr:uid="{00000000-0005-0000-0000-000095090000}"/>
    <cellStyle name="Примечание 2 9 6 2 2" xfId="2450" xr:uid="{00000000-0005-0000-0000-000096090000}"/>
    <cellStyle name="Примечание 2 9 6 2 3" xfId="2451" xr:uid="{00000000-0005-0000-0000-000097090000}"/>
    <cellStyle name="Примечание 2 9 6 3" xfId="2452" xr:uid="{00000000-0005-0000-0000-000098090000}"/>
    <cellStyle name="Примечание 2 9 6 3 2" xfId="2453" xr:uid="{00000000-0005-0000-0000-000099090000}"/>
    <cellStyle name="Примечание 2 9 6 3 3" xfId="2454" xr:uid="{00000000-0005-0000-0000-00009A090000}"/>
    <cellStyle name="Примечание 2 9 6 4" xfId="2455" xr:uid="{00000000-0005-0000-0000-00009B090000}"/>
    <cellStyle name="Примечание 2 9 6 4 2" xfId="2456" xr:uid="{00000000-0005-0000-0000-00009C090000}"/>
    <cellStyle name="Примечание 2 9 6 4 3" xfId="2457" xr:uid="{00000000-0005-0000-0000-00009D090000}"/>
    <cellStyle name="Примечание 2 9 6 5" xfId="2458" xr:uid="{00000000-0005-0000-0000-00009E090000}"/>
    <cellStyle name="Примечание 2 9 6 6" xfId="2459" xr:uid="{00000000-0005-0000-0000-00009F090000}"/>
    <cellStyle name="Примечание 2 9 7" xfId="2460" xr:uid="{00000000-0005-0000-0000-0000A0090000}"/>
    <cellStyle name="Примечание 2 9 7 2" xfId="2461" xr:uid="{00000000-0005-0000-0000-0000A1090000}"/>
    <cellStyle name="Примечание 2 9 7 2 2" xfId="2462" xr:uid="{00000000-0005-0000-0000-0000A2090000}"/>
    <cellStyle name="Примечание 2 9 7 2 3" xfId="2463" xr:uid="{00000000-0005-0000-0000-0000A3090000}"/>
    <cellStyle name="Примечание 2 9 7 3" xfId="2464" xr:uid="{00000000-0005-0000-0000-0000A4090000}"/>
    <cellStyle name="Примечание 2 9 7 3 2" xfId="2465" xr:uid="{00000000-0005-0000-0000-0000A5090000}"/>
    <cellStyle name="Примечание 2 9 7 3 3" xfId="2466" xr:uid="{00000000-0005-0000-0000-0000A6090000}"/>
    <cellStyle name="Примечание 2 9 7 4" xfId="2467" xr:uid="{00000000-0005-0000-0000-0000A7090000}"/>
    <cellStyle name="Примечание 2 9 7 4 2" xfId="2468" xr:uid="{00000000-0005-0000-0000-0000A8090000}"/>
    <cellStyle name="Примечание 2 9 7 4 3" xfId="2469" xr:uid="{00000000-0005-0000-0000-0000A9090000}"/>
    <cellStyle name="Примечание 2 9 7 5" xfId="2470" xr:uid="{00000000-0005-0000-0000-0000AA090000}"/>
    <cellStyle name="Примечание 2 9 7 6" xfId="2471" xr:uid="{00000000-0005-0000-0000-0000AB090000}"/>
    <cellStyle name="Примечание 2 9 8" xfId="2472" xr:uid="{00000000-0005-0000-0000-0000AC090000}"/>
    <cellStyle name="Примечание 2 9 8 2" xfId="2473" xr:uid="{00000000-0005-0000-0000-0000AD090000}"/>
    <cellStyle name="Примечание 2 9 8 3" xfId="2474" xr:uid="{00000000-0005-0000-0000-0000AE090000}"/>
    <cellStyle name="Примечание 2 9 9" xfId="2475" xr:uid="{00000000-0005-0000-0000-0000AF090000}"/>
    <cellStyle name="Примечание 2 9 9 2" xfId="2476" xr:uid="{00000000-0005-0000-0000-0000B0090000}"/>
    <cellStyle name="Примечание 2 9 9 3" xfId="2477" xr:uid="{00000000-0005-0000-0000-0000B1090000}"/>
    <cellStyle name="Примечание 3" xfId="2478" xr:uid="{00000000-0005-0000-0000-0000B2090000}"/>
    <cellStyle name="Примечание 3 10" xfId="2479" xr:uid="{00000000-0005-0000-0000-0000B3090000}"/>
    <cellStyle name="Примечание 3 10 2" xfId="2480" xr:uid="{00000000-0005-0000-0000-0000B4090000}"/>
    <cellStyle name="Примечание 3 10 3" xfId="2481" xr:uid="{00000000-0005-0000-0000-0000B5090000}"/>
    <cellStyle name="Примечание 3 11" xfId="2482" xr:uid="{00000000-0005-0000-0000-0000B6090000}"/>
    <cellStyle name="Примечание 3 12" xfId="2483" xr:uid="{00000000-0005-0000-0000-0000B7090000}"/>
    <cellStyle name="Примечание 3 2" xfId="2484" xr:uid="{00000000-0005-0000-0000-0000B8090000}"/>
    <cellStyle name="Примечание 3 2 2" xfId="2485" xr:uid="{00000000-0005-0000-0000-0000B9090000}"/>
    <cellStyle name="Примечание 3 2 2 2" xfId="2486" xr:uid="{00000000-0005-0000-0000-0000BA090000}"/>
    <cellStyle name="Примечание 3 2 2 2 2" xfId="2487" xr:uid="{00000000-0005-0000-0000-0000BB090000}"/>
    <cellStyle name="Примечание 3 2 2 2 3" xfId="2488" xr:uid="{00000000-0005-0000-0000-0000BC090000}"/>
    <cellStyle name="Примечание 3 2 2 3" xfId="2489" xr:uid="{00000000-0005-0000-0000-0000BD090000}"/>
    <cellStyle name="Примечание 3 2 2 3 2" xfId="2490" xr:uid="{00000000-0005-0000-0000-0000BE090000}"/>
    <cellStyle name="Примечание 3 2 2 3 3" xfId="2491" xr:uid="{00000000-0005-0000-0000-0000BF090000}"/>
    <cellStyle name="Примечание 3 2 2 4" xfId="2492" xr:uid="{00000000-0005-0000-0000-0000C0090000}"/>
    <cellStyle name="Примечание 3 2 2 4 2" xfId="2493" xr:uid="{00000000-0005-0000-0000-0000C1090000}"/>
    <cellStyle name="Примечание 3 2 2 4 3" xfId="2494" xr:uid="{00000000-0005-0000-0000-0000C2090000}"/>
    <cellStyle name="Примечание 3 2 2 5" xfId="2495" xr:uid="{00000000-0005-0000-0000-0000C3090000}"/>
    <cellStyle name="Примечание 3 2 2 6" xfId="2496" xr:uid="{00000000-0005-0000-0000-0000C4090000}"/>
    <cellStyle name="Примечание 3 2 3" xfId="2497" xr:uid="{00000000-0005-0000-0000-0000C5090000}"/>
    <cellStyle name="Примечание 3 2 3 2" xfId="2498" xr:uid="{00000000-0005-0000-0000-0000C6090000}"/>
    <cellStyle name="Примечание 3 2 3 2 2" xfId="2499" xr:uid="{00000000-0005-0000-0000-0000C7090000}"/>
    <cellStyle name="Примечание 3 2 3 2 3" xfId="2500" xr:uid="{00000000-0005-0000-0000-0000C8090000}"/>
    <cellStyle name="Примечание 3 2 3 3" xfId="2501" xr:uid="{00000000-0005-0000-0000-0000C9090000}"/>
    <cellStyle name="Примечание 3 2 3 3 2" xfId="2502" xr:uid="{00000000-0005-0000-0000-0000CA090000}"/>
    <cellStyle name="Примечание 3 2 3 3 3" xfId="2503" xr:uid="{00000000-0005-0000-0000-0000CB090000}"/>
    <cellStyle name="Примечание 3 2 3 4" xfId="2504" xr:uid="{00000000-0005-0000-0000-0000CC090000}"/>
    <cellStyle name="Примечание 3 2 3 4 2" xfId="2505" xr:uid="{00000000-0005-0000-0000-0000CD090000}"/>
    <cellStyle name="Примечание 3 2 3 4 3" xfId="2506" xr:uid="{00000000-0005-0000-0000-0000CE090000}"/>
    <cellStyle name="Примечание 3 2 3 5" xfId="2507" xr:uid="{00000000-0005-0000-0000-0000CF090000}"/>
    <cellStyle name="Примечание 3 2 3 6" xfId="2508" xr:uid="{00000000-0005-0000-0000-0000D0090000}"/>
    <cellStyle name="Примечание 3 2 4" xfId="2509" xr:uid="{00000000-0005-0000-0000-0000D1090000}"/>
    <cellStyle name="Примечание 3 2 4 2" xfId="2510" xr:uid="{00000000-0005-0000-0000-0000D2090000}"/>
    <cellStyle name="Примечание 3 2 4 2 2" xfId="2511" xr:uid="{00000000-0005-0000-0000-0000D3090000}"/>
    <cellStyle name="Примечание 3 2 4 2 3" xfId="2512" xr:uid="{00000000-0005-0000-0000-0000D4090000}"/>
    <cellStyle name="Примечание 3 2 4 3" xfId="2513" xr:uid="{00000000-0005-0000-0000-0000D5090000}"/>
    <cellStyle name="Примечание 3 2 4 3 2" xfId="2514" xr:uid="{00000000-0005-0000-0000-0000D6090000}"/>
    <cellStyle name="Примечание 3 2 4 3 3" xfId="2515" xr:uid="{00000000-0005-0000-0000-0000D7090000}"/>
    <cellStyle name="Примечание 3 2 4 4" xfId="2516" xr:uid="{00000000-0005-0000-0000-0000D8090000}"/>
    <cellStyle name="Примечание 3 2 4 4 2" xfId="2517" xr:uid="{00000000-0005-0000-0000-0000D9090000}"/>
    <cellStyle name="Примечание 3 2 4 4 3" xfId="2518" xr:uid="{00000000-0005-0000-0000-0000DA090000}"/>
    <cellStyle name="Примечание 3 2 4 5" xfId="2519" xr:uid="{00000000-0005-0000-0000-0000DB090000}"/>
    <cellStyle name="Примечание 3 2 4 6" xfId="2520" xr:uid="{00000000-0005-0000-0000-0000DC090000}"/>
    <cellStyle name="Примечание 3 2 5" xfId="2521" xr:uid="{00000000-0005-0000-0000-0000DD090000}"/>
    <cellStyle name="Примечание 3 2 5 2" xfId="2522" xr:uid="{00000000-0005-0000-0000-0000DE090000}"/>
    <cellStyle name="Примечание 3 2 5 3" xfId="2523" xr:uid="{00000000-0005-0000-0000-0000DF090000}"/>
    <cellStyle name="Примечание 3 2 6" xfId="2524" xr:uid="{00000000-0005-0000-0000-0000E0090000}"/>
    <cellStyle name="Примечание 3 2 6 2" xfId="2525" xr:uid="{00000000-0005-0000-0000-0000E1090000}"/>
    <cellStyle name="Примечание 3 2 6 3" xfId="2526" xr:uid="{00000000-0005-0000-0000-0000E2090000}"/>
    <cellStyle name="Примечание 3 2 7" xfId="2527" xr:uid="{00000000-0005-0000-0000-0000E3090000}"/>
    <cellStyle name="Примечание 3 2 7 2" xfId="2528" xr:uid="{00000000-0005-0000-0000-0000E4090000}"/>
    <cellStyle name="Примечание 3 2 7 3" xfId="2529" xr:uid="{00000000-0005-0000-0000-0000E5090000}"/>
    <cellStyle name="Примечание 3 2 8" xfId="2530" xr:uid="{00000000-0005-0000-0000-0000E6090000}"/>
    <cellStyle name="Примечание 3 2 9" xfId="2531" xr:uid="{00000000-0005-0000-0000-0000E7090000}"/>
    <cellStyle name="Примечание 3 3" xfId="2532" xr:uid="{00000000-0005-0000-0000-0000E8090000}"/>
    <cellStyle name="Примечание 3 3 2" xfId="2533" xr:uid="{00000000-0005-0000-0000-0000E9090000}"/>
    <cellStyle name="Примечание 3 3 2 2" xfId="2534" xr:uid="{00000000-0005-0000-0000-0000EA090000}"/>
    <cellStyle name="Примечание 3 3 2 2 2" xfId="2535" xr:uid="{00000000-0005-0000-0000-0000EB090000}"/>
    <cellStyle name="Примечание 3 3 2 2 3" xfId="2536" xr:uid="{00000000-0005-0000-0000-0000EC090000}"/>
    <cellStyle name="Примечание 3 3 2 3" xfId="2537" xr:uid="{00000000-0005-0000-0000-0000ED090000}"/>
    <cellStyle name="Примечание 3 3 2 3 2" xfId="2538" xr:uid="{00000000-0005-0000-0000-0000EE090000}"/>
    <cellStyle name="Примечание 3 3 2 3 3" xfId="2539" xr:uid="{00000000-0005-0000-0000-0000EF090000}"/>
    <cellStyle name="Примечание 3 3 2 4" xfId="2540" xr:uid="{00000000-0005-0000-0000-0000F0090000}"/>
    <cellStyle name="Примечание 3 3 2 4 2" xfId="2541" xr:uid="{00000000-0005-0000-0000-0000F1090000}"/>
    <cellStyle name="Примечание 3 3 2 4 3" xfId="2542" xr:uid="{00000000-0005-0000-0000-0000F2090000}"/>
    <cellStyle name="Примечание 3 3 2 5" xfId="2543" xr:uid="{00000000-0005-0000-0000-0000F3090000}"/>
    <cellStyle name="Примечание 3 3 2 6" xfId="2544" xr:uid="{00000000-0005-0000-0000-0000F4090000}"/>
    <cellStyle name="Примечание 3 3 3" xfId="2545" xr:uid="{00000000-0005-0000-0000-0000F5090000}"/>
    <cellStyle name="Примечание 3 3 3 2" xfId="2546" xr:uid="{00000000-0005-0000-0000-0000F6090000}"/>
    <cellStyle name="Примечание 3 3 3 2 2" xfId="2547" xr:uid="{00000000-0005-0000-0000-0000F7090000}"/>
    <cellStyle name="Примечание 3 3 3 2 3" xfId="2548" xr:uid="{00000000-0005-0000-0000-0000F8090000}"/>
    <cellStyle name="Примечание 3 3 3 3" xfId="2549" xr:uid="{00000000-0005-0000-0000-0000F9090000}"/>
    <cellStyle name="Примечание 3 3 3 3 2" xfId="2550" xr:uid="{00000000-0005-0000-0000-0000FA090000}"/>
    <cellStyle name="Примечание 3 3 3 3 3" xfId="2551" xr:uid="{00000000-0005-0000-0000-0000FB090000}"/>
    <cellStyle name="Примечание 3 3 3 4" xfId="2552" xr:uid="{00000000-0005-0000-0000-0000FC090000}"/>
    <cellStyle name="Примечание 3 3 3 4 2" xfId="2553" xr:uid="{00000000-0005-0000-0000-0000FD090000}"/>
    <cellStyle name="Примечание 3 3 3 4 3" xfId="2554" xr:uid="{00000000-0005-0000-0000-0000FE090000}"/>
    <cellStyle name="Примечание 3 3 3 5" xfId="2555" xr:uid="{00000000-0005-0000-0000-0000FF090000}"/>
    <cellStyle name="Примечание 3 3 3 6" xfId="2556" xr:uid="{00000000-0005-0000-0000-0000000A0000}"/>
    <cellStyle name="Примечание 3 3 4" xfId="2557" xr:uid="{00000000-0005-0000-0000-0000010A0000}"/>
    <cellStyle name="Примечание 3 3 4 2" xfId="2558" xr:uid="{00000000-0005-0000-0000-0000020A0000}"/>
    <cellStyle name="Примечание 3 3 4 2 2" xfId="2559" xr:uid="{00000000-0005-0000-0000-0000030A0000}"/>
    <cellStyle name="Примечание 3 3 4 2 3" xfId="2560" xr:uid="{00000000-0005-0000-0000-0000040A0000}"/>
    <cellStyle name="Примечание 3 3 4 3" xfId="2561" xr:uid="{00000000-0005-0000-0000-0000050A0000}"/>
    <cellStyle name="Примечание 3 3 4 3 2" xfId="2562" xr:uid="{00000000-0005-0000-0000-0000060A0000}"/>
    <cellStyle name="Примечание 3 3 4 3 3" xfId="2563" xr:uid="{00000000-0005-0000-0000-0000070A0000}"/>
    <cellStyle name="Примечание 3 3 4 4" xfId="2564" xr:uid="{00000000-0005-0000-0000-0000080A0000}"/>
    <cellStyle name="Примечание 3 3 4 4 2" xfId="2565" xr:uid="{00000000-0005-0000-0000-0000090A0000}"/>
    <cellStyle name="Примечание 3 3 4 4 3" xfId="2566" xr:uid="{00000000-0005-0000-0000-00000A0A0000}"/>
    <cellStyle name="Примечание 3 3 4 5" xfId="2567" xr:uid="{00000000-0005-0000-0000-00000B0A0000}"/>
    <cellStyle name="Примечание 3 3 4 6" xfId="2568" xr:uid="{00000000-0005-0000-0000-00000C0A0000}"/>
    <cellStyle name="Примечание 3 3 5" xfId="2569" xr:uid="{00000000-0005-0000-0000-00000D0A0000}"/>
    <cellStyle name="Примечание 3 3 5 2" xfId="2570" xr:uid="{00000000-0005-0000-0000-00000E0A0000}"/>
    <cellStyle name="Примечание 3 3 5 3" xfId="2571" xr:uid="{00000000-0005-0000-0000-00000F0A0000}"/>
    <cellStyle name="Примечание 3 3 6" xfId="2572" xr:uid="{00000000-0005-0000-0000-0000100A0000}"/>
    <cellStyle name="Примечание 3 3 6 2" xfId="2573" xr:uid="{00000000-0005-0000-0000-0000110A0000}"/>
    <cellStyle name="Примечание 3 3 6 3" xfId="2574" xr:uid="{00000000-0005-0000-0000-0000120A0000}"/>
    <cellStyle name="Примечание 3 3 7" xfId="2575" xr:uid="{00000000-0005-0000-0000-0000130A0000}"/>
    <cellStyle name="Примечание 3 3 7 2" xfId="2576" xr:uid="{00000000-0005-0000-0000-0000140A0000}"/>
    <cellStyle name="Примечание 3 3 7 3" xfId="2577" xr:uid="{00000000-0005-0000-0000-0000150A0000}"/>
    <cellStyle name="Примечание 3 3 8" xfId="2578" xr:uid="{00000000-0005-0000-0000-0000160A0000}"/>
    <cellStyle name="Примечание 3 3 9" xfId="2579" xr:uid="{00000000-0005-0000-0000-0000170A0000}"/>
    <cellStyle name="Примечание 3 4" xfId="2580" xr:uid="{00000000-0005-0000-0000-0000180A0000}"/>
    <cellStyle name="Примечание 3 4 2" xfId="2581" xr:uid="{00000000-0005-0000-0000-0000190A0000}"/>
    <cellStyle name="Примечание 3 4 2 2" xfId="2582" xr:uid="{00000000-0005-0000-0000-00001A0A0000}"/>
    <cellStyle name="Примечание 3 4 2 2 2" xfId="2583" xr:uid="{00000000-0005-0000-0000-00001B0A0000}"/>
    <cellStyle name="Примечание 3 4 2 2 3" xfId="2584" xr:uid="{00000000-0005-0000-0000-00001C0A0000}"/>
    <cellStyle name="Примечание 3 4 2 3" xfId="2585" xr:uid="{00000000-0005-0000-0000-00001D0A0000}"/>
    <cellStyle name="Примечание 3 4 2 3 2" xfId="2586" xr:uid="{00000000-0005-0000-0000-00001E0A0000}"/>
    <cellStyle name="Примечание 3 4 2 3 3" xfId="2587" xr:uid="{00000000-0005-0000-0000-00001F0A0000}"/>
    <cellStyle name="Примечание 3 4 2 4" xfId="2588" xr:uid="{00000000-0005-0000-0000-0000200A0000}"/>
    <cellStyle name="Примечание 3 4 2 4 2" xfId="2589" xr:uid="{00000000-0005-0000-0000-0000210A0000}"/>
    <cellStyle name="Примечание 3 4 2 4 3" xfId="2590" xr:uid="{00000000-0005-0000-0000-0000220A0000}"/>
    <cellStyle name="Примечание 3 4 2 5" xfId="2591" xr:uid="{00000000-0005-0000-0000-0000230A0000}"/>
    <cellStyle name="Примечание 3 4 2 6" xfId="2592" xr:uid="{00000000-0005-0000-0000-0000240A0000}"/>
    <cellStyle name="Примечание 3 4 3" xfId="2593" xr:uid="{00000000-0005-0000-0000-0000250A0000}"/>
    <cellStyle name="Примечание 3 4 3 2" xfId="2594" xr:uid="{00000000-0005-0000-0000-0000260A0000}"/>
    <cellStyle name="Примечание 3 4 3 2 2" xfId="2595" xr:uid="{00000000-0005-0000-0000-0000270A0000}"/>
    <cellStyle name="Примечание 3 4 3 2 3" xfId="2596" xr:uid="{00000000-0005-0000-0000-0000280A0000}"/>
    <cellStyle name="Примечание 3 4 3 3" xfId="2597" xr:uid="{00000000-0005-0000-0000-0000290A0000}"/>
    <cellStyle name="Примечание 3 4 3 3 2" xfId="2598" xr:uid="{00000000-0005-0000-0000-00002A0A0000}"/>
    <cellStyle name="Примечание 3 4 3 3 3" xfId="2599" xr:uid="{00000000-0005-0000-0000-00002B0A0000}"/>
    <cellStyle name="Примечание 3 4 3 4" xfId="2600" xr:uid="{00000000-0005-0000-0000-00002C0A0000}"/>
    <cellStyle name="Примечание 3 4 3 4 2" xfId="2601" xr:uid="{00000000-0005-0000-0000-00002D0A0000}"/>
    <cellStyle name="Примечание 3 4 3 4 3" xfId="2602" xr:uid="{00000000-0005-0000-0000-00002E0A0000}"/>
    <cellStyle name="Примечание 3 4 3 5" xfId="2603" xr:uid="{00000000-0005-0000-0000-00002F0A0000}"/>
    <cellStyle name="Примечание 3 4 3 6" xfId="2604" xr:uid="{00000000-0005-0000-0000-0000300A0000}"/>
    <cellStyle name="Примечание 3 4 4" xfId="2605" xr:uid="{00000000-0005-0000-0000-0000310A0000}"/>
    <cellStyle name="Примечание 3 4 4 2" xfId="2606" xr:uid="{00000000-0005-0000-0000-0000320A0000}"/>
    <cellStyle name="Примечание 3 4 4 2 2" xfId="2607" xr:uid="{00000000-0005-0000-0000-0000330A0000}"/>
    <cellStyle name="Примечание 3 4 4 2 3" xfId="2608" xr:uid="{00000000-0005-0000-0000-0000340A0000}"/>
    <cellStyle name="Примечание 3 4 4 3" xfId="2609" xr:uid="{00000000-0005-0000-0000-0000350A0000}"/>
    <cellStyle name="Примечание 3 4 4 3 2" xfId="2610" xr:uid="{00000000-0005-0000-0000-0000360A0000}"/>
    <cellStyle name="Примечание 3 4 4 3 3" xfId="2611" xr:uid="{00000000-0005-0000-0000-0000370A0000}"/>
    <cellStyle name="Примечание 3 4 4 4" xfId="2612" xr:uid="{00000000-0005-0000-0000-0000380A0000}"/>
    <cellStyle name="Примечание 3 4 4 4 2" xfId="2613" xr:uid="{00000000-0005-0000-0000-0000390A0000}"/>
    <cellStyle name="Примечание 3 4 4 4 3" xfId="2614" xr:uid="{00000000-0005-0000-0000-00003A0A0000}"/>
    <cellStyle name="Примечание 3 4 4 5" xfId="2615" xr:uid="{00000000-0005-0000-0000-00003B0A0000}"/>
    <cellStyle name="Примечание 3 4 4 6" xfId="2616" xr:uid="{00000000-0005-0000-0000-00003C0A0000}"/>
    <cellStyle name="Примечание 3 4 5" xfId="2617" xr:uid="{00000000-0005-0000-0000-00003D0A0000}"/>
    <cellStyle name="Примечание 3 4 5 2" xfId="2618" xr:uid="{00000000-0005-0000-0000-00003E0A0000}"/>
    <cellStyle name="Примечание 3 4 5 3" xfId="2619" xr:uid="{00000000-0005-0000-0000-00003F0A0000}"/>
    <cellStyle name="Примечание 3 4 6" xfId="2620" xr:uid="{00000000-0005-0000-0000-0000400A0000}"/>
    <cellStyle name="Примечание 3 4 6 2" xfId="2621" xr:uid="{00000000-0005-0000-0000-0000410A0000}"/>
    <cellStyle name="Примечание 3 4 6 3" xfId="2622" xr:uid="{00000000-0005-0000-0000-0000420A0000}"/>
    <cellStyle name="Примечание 3 4 7" xfId="2623" xr:uid="{00000000-0005-0000-0000-0000430A0000}"/>
    <cellStyle name="Примечание 3 4 7 2" xfId="2624" xr:uid="{00000000-0005-0000-0000-0000440A0000}"/>
    <cellStyle name="Примечание 3 4 7 3" xfId="2625" xr:uid="{00000000-0005-0000-0000-0000450A0000}"/>
    <cellStyle name="Примечание 3 4 8" xfId="2626" xr:uid="{00000000-0005-0000-0000-0000460A0000}"/>
    <cellStyle name="Примечание 3 4 9" xfId="2627" xr:uid="{00000000-0005-0000-0000-0000470A0000}"/>
    <cellStyle name="Примечание 3 5" xfId="2628" xr:uid="{00000000-0005-0000-0000-0000480A0000}"/>
    <cellStyle name="Примечание 3 5 2" xfId="2629" xr:uid="{00000000-0005-0000-0000-0000490A0000}"/>
    <cellStyle name="Примечание 3 5 2 2" xfId="2630" xr:uid="{00000000-0005-0000-0000-00004A0A0000}"/>
    <cellStyle name="Примечание 3 5 2 3" xfId="2631" xr:uid="{00000000-0005-0000-0000-00004B0A0000}"/>
    <cellStyle name="Примечание 3 5 3" xfId="2632" xr:uid="{00000000-0005-0000-0000-00004C0A0000}"/>
    <cellStyle name="Примечание 3 5 3 2" xfId="2633" xr:uid="{00000000-0005-0000-0000-00004D0A0000}"/>
    <cellStyle name="Примечание 3 5 3 3" xfId="2634" xr:uid="{00000000-0005-0000-0000-00004E0A0000}"/>
    <cellStyle name="Примечание 3 5 4" xfId="2635" xr:uid="{00000000-0005-0000-0000-00004F0A0000}"/>
    <cellStyle name="Примечание 3 5 4 2" xfId="2636" xr:uid="{00000000-0005-0000-0000-0000500A0000}"/>
    <cellStyle name="Примечание 3 5 4 3" xfId="2637" xr:uid="{00000000-0005-0000-0000-0000510A0000}"/>
    <cellStyle name="Примечание 3 5 5" xfId="2638" xr:uid="{00000000-0005-0000-0000-0000520A0000}"/>
    <cellStyle name="Примечание 3 5 6" xfId="2639" xr:uid="{00000000-0005-0000-0000-0000530A0000}"/>
    <cellStyle name="Примечание 3 6" xfId="2640" xr:uid="{00000000-0005-0000-0000-0000540A0000}"/>
    <cellStyle name="Примечание 3 6 2" xfId="2641" xr:uid="{00000000-0005-0000-0000-0000550A0000}"/>
    <cellStyle name="Примечание 3 6 2 2" xfId="2642" xr:uid="{00000000-0005-0000-0000-0000560A0000}"/>
    <cellStyle name="Примечание 3 6 2 3" xfId="2643" xr:uid="{00000000-0005-0000-0000-0000570A0000}"/>
    <cellStyle name="Примечание 3 6 3" xfId="2644" xr:uid="{00000000-0005-0000-0000-0000580A0000}"/>
    <cellStyle name="Примечание 3 6 3 2" xfId="2645" xr:uid="{00000000-0005-0000-0000-0000590A0000}"/>
    <cellStyle name="Примечание 3 6 3 3" xfId="2646" xr:uid="{00000000-0005-0000-0000-00005A0A0000}"/>
    <cellStyle name="Примечание 3 6 4" xfId="2647" xr:uid="{00000000-0005-0000-0000-00005B0A0000}"/>
    <cellStyle name="Примечание 3 6 4 2" xfId="2648" xr:uid="{00000000-0005-0000-0000-00005C0A0000}"/>
    <cellStyle name="Примечание 3 6 4 3" xfId="2649" xr:uid="{00000000-0005-0000-0000-00005D0A0000}"/>
    <cellStyle name="Примечание 3 6 5" xfId="2650" xr:uid="{00000000-0005-0000-0000-00005E0A0000}"/>
    <cellStyle name="Примечание 3 6 6" xfId="2651" xr:uid="{00000000-0005-0000-0000-00005F0A0000}"/>
    <cellStyle name="Примечание 3 7" xfId="2652" xr:uid="{00000000-0005-0000-0000-0000600A0000}"/>
    <cellStyle name="Примечание 3 7 2" xfId="2653" xr:uid="{00000000-0005-0000-0000-0000610A0000}"/>
    <cellStyle name="Примечание 3 7 2 2" xfId="2654" xr:uid="{00000000-0005-0000-0000-0000620A0000}"/>
    <cellStyle name="Примечание 3 7 2 3" xfId="2655" xr:uid="{00000000-0005-0000-0000-0000630A0000}"/>
    <cellStyle name="Примечание 3 7 3" xfId="2656" xr:uid="{00000000-0005-0000-0000-0000640A0000}"/>
    <cellStyle name="Примечание 3 7 3 2" xfId="2657" xr:uid="{00000000-0005-0000-0000-0000650A0000}"/>
    <cellStyle name="Примечание 3 7 3 3" xfId="2658" xr:uid="{00000000-0005-0000-0000-0000660A0000}"/>
    <cellStyle name="Примечание 3 7 4" xfId="2659" xr:uid="{00000000-0005-0000-0000-0000670A0000}"/>
    <cellStyle name="Примечание 3 7 4 2" xfId="2660" xr:uid="{00000000-0005-0000-0000-0000680A0000}"/>
    <cellStyle name="Примечание 3 7 4 3" xfId="2661" xr:uid="{00000000-0005-0000-0000-0000690A0000}"/>
    <cellStyle name="Примечание 3 7 5" xfId="2662" xr:uid="{00000000-0005-0000-0000-00006A0A0000}"/>
    <cellStyle name="Примечание 3 7 6" xfId="2663" xr:uid="{00000000-0005-0000-0000-00006B0A0000}"/>
    <cellStyle name="Примечание 3 8" xfId="2664" xr:uid="{00000000-0005-0000-0000-00006C0A0000}"/>
    <cellStyle name="Примечание 3 8 2" xfId="2665" xr:uid="{00000000-0005-0000-0000-00006D0A0000}"/>
    <cellStyle name="Примечание 3 8 3" xfId="2666" xr:uid="{00000000-0005-0000-0000-00006E0A0000}"/>
    <cellStyle name="Примечание 3 9" xfId="2667" xr:uid="{00000000-0005-0000-0000-00006F0A0000}"/>
    <cellStyle name="Примечание 3 9 2" xfId="2668" xr:uid="{00000000-0005-0000-0000-0000700A0000}"/>
    <cellStyle name="Примечание 3 9 3" xfId="2669" xr:uid="{00000000-0005-0000-0000-0000710A0000}"/>
    <cellStyle name="Примечание 4" xfId="2670" xr:uid="{00000000-0005-0000-0000-0000720A0000}"/>
    <cellStyle name="Примечание 4 10" xfId="2671" xr:uid="{00000000-0005-0000-0000-0000730A0000}"/>
    <cellStyle name="Примечание 4 10 2" xfId="2672" xr:uid="{00000000-0005-0000-0000-0000740A0000}"/>
    <cellStyle name="Примечание 4 10 3" xfId="2673" xr:uid="{00000000-0005-0000-0000-0000750A0000}"/>
    <cellStyle name="Примечание 4 11" xfId="2674" xr:uid="{00000000-0005-0000-0000-0000760A0000}"/>
    <cellStyle name="Примечание 4 12" xfId="2675" xr:uid="{00000000-0005-0000-0000-0000770A0000}"/>
    <cellStyle name="Примечание 4 2" xfId="2676" xr:uid="{00000000-0005-0000-0000-0000780A0000}"/>
    <cellStyle name="Примечание 4 2 2" xfId="2677" xr:uid="{00000000-0005-0000-0000-0000790A0000}"/>
    <cellStyle name="Примечание 4 2 2 2" xfId="2678" xr:uid="{00000000-0005-0000-0000-00007A0A0000}"/>
    <cellStyle name="Примечание 4 2 2 2 2" xfId="2679" xr:uid="{00000000-0005-0000-0000-00007B0A0000}"/>
    <cellStyle name="Примечание 4 2 2 2 3" xfId="2680" xr:uid="{00000000-0005-0000-0000-00007C0A0000}"/>
    <cellStyle name="Примечание 4 2 2 3" xfId="2681" xr:uid="{00000000-0005-0000-0000-00007D0A0000}"/>
    <cellStyle name="Примечание 4 2 2 3 2" xfId="2682" xr:uid="{00000000-0005-0000-0000-00007E0A0000}"/>
    <cellStyle name="Примечание 4 2 2 3 3" xfId="2683" xr:uid="{00000000-0005-0000-0000-00007F0A0000}"/>
    <cellStyle name="Примечание 4 2 2 4" xfId="2684" xr:uid="{00000000-0005-0000-0000-0000800A0000}"/>
    <cellStyle name="Примечание 4 2 2 4 2" xfId="2685" xr:uid="{00000000-0005-0000-0000-0000810A0000}"/>
    <cellStyle name="Примечание 4 2 2 4 3" xfId="2686" xr:uid="{00000000-0005-0000-0000-0000820A0000}"/>
    <cellStyle name="Примечание 4 2 2 5" xfId="2687" xr:uid="{00000000-0005-0000-0000-0000830A0000}"/>
    <cellStyle name="Примечание 4 2 2 6" xfId="2688" xr:uid="{00000000-0005-0000-0000-0000840A0000}"/>
    <cellStyle name="Примечание 4 2 3" xfId="2689" xr:uid="{00000000-0005-0000-0000-0000850A0000}"/>
    <cellStyle name="Примечание 4 2 3 2" xfId="2690" xr:uid="{00000000-0005-0000-0000-0000860A0000}"/>
    <cellStyle name="Примечание 4 2 3 2 2" xfId="2691" xr:uid="{00000000-0005-0000-0000-0000870A0000}"/>
    <cellStyle name="Примечание 4 2 3 2 3" xfId="2692" xr:uid="{00000000-0005-0000-0000-0000880A0000}"/>
    <cellStyle name="Примечание 4 2 3 3" xfId="2693" xr:uid="{00000000-0005-0000-0000-0000890A0000}"/>
    <cellStyle name="Примечание 4 2 3 3 2" xfId="2694" xr:uid="{00000000-0005-0000-0000-00008A0A0000}"/>
    <cellStyle name="Примечание 4 2 3 3 3" xfId="2695" xr:uid="{00000000-0005-0000-0000-00008B0A0000}"/>
    <cellStyle name="Примечание 4 2 3 4" xfId="2696" xr:uid="{00000000-0005-0000-0000-00008C0A0000}"/>
    <cellStyle name="Примечание 4 2 3 4 2" xfId="2697" xr:uid="{00000000-0005-0000-0000-00008D0A0000}"/>
    <cellStyle name="Примечание 4 2 3 4 3" xfId="2698" xr:uid="{00000000-0005-0000-0000-00008E0A0000}"/>
    <cellStyle name="Примечание 4 2 3 5" xfId="2699" xr:uid="{00000000-0005-0000-0000-00008F0A0000}"/>
    <cellStyle name="Примечание 4 2 3 6" xfId="2700" xr:uid="{00000000-0005-0000-0000-0000900A0000}"/>
    <cellStyle name="Примечание 4 2 4" xfId="2701" xr:uid="{00000000-0005-0000-0000-0000910A0000}"/>
    <cellStyle name="Примечание 4 2 4 2" xfId="2702" xr:uid="{00000000-0005-0000-0000-0000920A0000}"/>
    <cellStyle name="Примечание 4 2 4 2 2" xfId="2703" xr:uid="{00000000-0005-0000-0000-0000930A0000}"/>
    <cellStyle name="Примечание 4 2 4 2 3" xfId="2704" xr:uid="{00000000-0005-0000-0000-0000940A0000}"/>
    <cellStyle name="Примечание 4 2 4 3" xfId="2705" xr:uid="{00000000-0005-0000-0000-0000950A0000}"/>
    <cellStyle name="Примечание 4 2 4 3 2" xfId="2706" xr:uid="{00000000-0005-0000-0000-0000960A0000}"/>
    <cellStyle name="Примечание 4 2 4 3 3" xfId="2707" xr:uid="{00000000-0005-0000-0000-0000970A0000}"/>
    <cellStyle name="Примечание 4 2 4 4" xfId="2708" xr:uid="{00000000-0005-0000-0000-0000980A0000}"/>
    <cellStyle name="Примечание 4 2 4 4 2" xfId="2709" xr:uid="{00000000-0005-0000-0000-0000990A0000}"/>
    <cellStyle name="Примечание 4 2 4 4 3" xfId="2710" xr:uid="{00000000-0005-0000-0000-00009A0A0000}"/>
    <cellStyle name="Примечание 4 2 4 5" xfId="2711" xr:uid="{00000000-0005-0000-0000-00009B0A0000}"/>
    <cellStyle name="Примечание 4 2 4 6" xfId="2712" xr:uid="{00000000-0005-0000-0000-00009C0A0000}"/>
    <cellStyle name="Примечание 4 2 5" xfId="2713" xr:uid="{00000000-0005-0000-0000-00009D0A0000}"/>
    <cellStyle name="Примечание 4 2 5 2" xfId="2714" xr:uid="{00000000-0005-0000-0000-00009E0A0000}"/>
    <cellStyle name="Примечание 4 2 5 3" xfId="2715" xr:uid="{00000000-0005-0000-0000-00009F0A0000}"/>
    <cellStyle name="Примечание 4 2 6" xfId="2716" xr:uid="{00000000-0005-0000-0000-0000A00A0000}"/>
    <cellStyle name="Примечание 4 2 6 2" xfId="2717" xr:uid="{00000000-0005-0000-0000-0000A10A0000}"/>
    <cellStyle name="Примечание 4 2 6 3" xfId="2718" xr:uid="{00000000-0005-0000-0000-0000A20A0000}"/>
    <cellStyle name="Примечание 4 2 7" xfId="2719" xr:uid="{00000000-0005-0000-0000-0000A30A0000}"/>
    <cellStyle name="Примечание 4 2 7 2" xfId="2720" xr:uid="{00000000-0005-0000-0000-0000A40A0000}"/>
    <cellStyle name="Примечание 4 2 7 3" xfId="2721" xr:uid="{00000000-0005-0000-0000-0000A50A0000}"/>
    <cellStyle name="Примечание 4 2 8" xfId="2722" xr:uid="{00000000-0005-0000-0000-0000A60A0000}"/>
    <cellStyle name="Примечание 4 2 9" xfId="2723" xr:uid="{00000000-0005-0000-0000-0000A70A0000}"/>
    <cellStyle name="Примечание 4 3" xfId="2724" xr:uid="{00000000-0005-0000-0000-0000A80A0000}"/>
    <cellStyle name="Примечание 4 3 2" xfId="2725" xr:uid="{00000000-0005-0000-0000-0000A90A0000}"/>
    <cellStyle name="Примечание 4 3 2 2" xfId="2726" xr:uid="{00000000-0005-0000-0000-0000AA0A0000}"/>
    <cellStyle name="Примечание 4 3 2 2 2" xfId="2727" xr:uid="{00000000-0005-0000-0000-0000AB0A0000}"/>
    <cellStyle name="Примечание 4 3 2 2 3" xfId="2728" xr:uid="{00000000-0005-0000-0000-0000AC0A0000}"/>
    <cellStyle name="Примечание 4 3 2 3" xfId="2729" xr:uid="{00000000-0005-0000-0000-0000AD0A0000}"/>
    <cellStyle name="Примечание 4 3 2 3 2" xfId="2730" xr:uid="{00000000-0005-0000-0000-0000AE0A0000}"/>
    <cellStyle name="Примечание 4 3 2 3 3" xfId="2731" xr:uid="{00000000-0005-0000-0000-0000AF0A0000}"/>
    <cellStyle name="Примечание 4 3 2 4" xfId="2732" xr:uid="{00000000-0005-0000-0000-0000B00A0000}"/>
    <cellStyle name="Примечание 4 3 2 4 2" xfId="2733" xr:uid="{00000000-0005-0000-0000-0000B10A0000}"/>
    <cellStyle name="Примечание 4 3 2 4 3" xfId="2734" xr:uid="{00000000-0005-0000-0000-0000B20A0000}"/>
    <cellStyle name="Примечание 4 3 2 5" xfId="2735" xr:uid="{00000000-0005-0000-0000-0000B30A0000}"/>
    <cellStyle name="Примечание 4 3 2 6" xfId="2736" xr:uid="{00000000-0005-0000-0000-0000B40A0000}"/>
    <cellStyle name="Примечание 4 3 3" xfId="2737" xr:uid="{00000000-0005-0000-0000-0000B50A0000}"/>
    <cellStyle name="Примечание 4 3 3 2" xfId="2738" xr:uid="{00000000-0005-0000-0000-0000B60A0000}"/>
    <cellStyle name="Примечание 4 3 3 2 2" xfId="2739" xr:uid="{00000000-0005-0000-0000-0000B70A0000}"/>
    <cellStyle name="Примечание 4 3 3 2 3" xfId="2740" xr:uid="{00000000-0005-0000-0000-0000B80A0000}"/>
    <cellStyle name="Примечание 4 3 3 3" xfId="2741" xr:uid="{00000000-0005-0000-0000-0000B90A0000}"/>
    <cellStyle name="Примечание 4 3 3 3 2" xfId="2742" xr:uid="{00000000-0005-0000-0000-0000BA0A0000}"/>
    <cellStyle name="Примечание 4 3 3 3 3" xfId="2743" xr:uid="{00000000-0005-0000-0000-0000BB0A0000}"/>
    <cellStyle name="Примечание 4 3 3 4" xfId="2744" xr:uid="{00000000-0005-0000-0000-0000BC0A0000}"/>
    <cellStyle name="Примечание 4 3 3 4 2" xfId="2745" xr:uid="{00000000-0005-0000-0000-0000BD0A0000}"/>
    <cellStyle name="Примечание 4 3 3 4 3" xfId="2746" xr:uid="{00000000-0005-0000-0000-0000BE0A0000}"/>
    <cellStyle name="Примечание 4 3 3 5" xfId="2747" xr:uid="{00000000-0005-0000-0000-0000BF0A0000}"/>
    <cellStyle name="Примечание 4 3 3 6" xfId="2748" xr:uid="{00000000-0005-0000-0000-0000C00A0000}"/>
    <cellStyle name="Примечание 4 3 4" xfId="2749" xr:uid="{00000000-0005-0000-0000-0000C10A0000}"/>
    <cellStyle name="Примечание 4 3 4 2" xfId="2750" xr:uid="{00000000-0005-0000-0000-0000C20A0000}"/>
    <cellStyle name="Примечание 4 3 4 2 2" xfId="2751" xr:uid="{00000000-0005-0000-0000-0000C30A0000}"/>
    <cellStyle name="Примечание 4 3 4 2 3" xfId="2752" xr:uid="{00000000-0005-0000-0000-0000C40A0000}"/>
    <cellStyle name="Примечание 4 3 4 3" xfId="2753" xr:uid="{00000000-0005-0000-0000-0000C50A0000}"/>
    <cellStyle name="Примечание 4 3 4 3 2" xfId="2754" xr:uid="{00000000-0005-0000-0000-0000C60A0000}"/>
    <cellStyle name="Примечание 4 3 4 3 3" xfId="2755" xr:uid="{00000000-0005-0000-0000-0000C70A0000}"/>
    <cellStyle name="Примечание 4 3 4 4" xfId="2756" xr:uid="{00000000-0005-0000-0000-0000C80A0000}"/>
    <cellStyle name="Примечание 4 3 4 4 2" xfId="2757" xr:uid="{00000000-0005-0000-0000-0000C90A0000}"/>
    <cellStyle name="Примечание 4 3 4 4 3" xfId="2758" xr:uid="{00000000-0005-0000-0000-0000CA0A0000}"/>
    <cellStyle name="Примечание 4 3 4 5" xfId="2759" xr:uid="{00000000-0005-0000-0000-0000CB0A0000}"/>
    <cellStyle name="Примечание 4 3 4 6" xfId="2760" xr:uid="{00000000-0005-0000-0000-0000CC0A0000}"/>
    <cellStyle name="Примечание 4 3 5" xfId="2761" xr:uid="{00000000-0005-0000-0000-0000CD0A0000}"/>
    <cellStyle name="Примечание 4 3 5 2" xfId="2762" xr:uid="{00000000-0005-0000-0000-0000CE0A0000}"/>
    <cellStyle name="Примечание 4 3 5 3" xfId="2763" xr:uid="{00000000-0005-0000-0000-0000CF0A0000}"/>
    <cellStyle name="Примечание 4 3 6" xfId="2764" xr:uid="{00000000-0005-0000-0000-0000D00A0000}"/>
    <cellStyle name="Примечание 4 3 6 2" xfId="2765" xr:uid="{00000000-0005-0000-0000-0000D10A0000}"/>
    <cellStyle name="Примечание 4 3 6 3" xfId="2766" xr:uid="{00000000-0005-0000-0000-0000D20A0000}"/>
    <cellStyle name="Примечание 4 3 7" xfId="2767" xr:uid="{00000000-0005-0000-0000-0000D30A0000}"/>
    <cellStyle name="Примечание 4 3 7 2" xfId="2768" xr:uid="{00000000-0005-0000-0000-0000D40A0000}"/>
    <cellStyle name="Примечание 4 3 7 3" xfId="2769" xr:uid="{00000000-0005-0000-0000-0000D50A0000}"/>
    <cellStyle name="Примечание 4 3 8" xfId="2770" xr:uid="{00000000-0005-0000-0000-0000D60A0000}"/>
    <cellStyle name="Примечание 4 3 9" xfId="2771" xr:uid="{00000000-0005-0000-0000-0000D70A0000}"/>
    <cellStyle name="Примечание 4 4" xfId="2772" xr:uid="{00000000-0005-0000-0000-0000D80A0000}"/>
    <cellStyle name="Примечание 4 4 2" xfId="2773" xr:uid="{00000000-0005-0000-0000-0000D90A0000}"/>
    <cellStyle name="Примечание 4 4 2 2" xfId="2774" xr:uid="{00000000-0005-0000-0000-0000DA0A0000}"/>
    <cellStyle name="Примечание 4 4 2 2 2" xfId="2775" xr:uid="{00000000-0005-0000-0000-0000DB0A0000}"/>
    <cellStyle name="Примечание 4 4 2 2 3" xfId="2776" xr:uid="{00000000-0005-0000-0000-0000DC0A0000}"/>
    <cellStyle name="Примечание 4 4 2 3" xfId="2777" xr:uid="{00000000-0005-0000-0000-0000DD0A0000}"/>
    <cellStyle name="Примечание 4 4 2 3 2" xfId="2778" xr:uid="{00000000-0005-0000-0000-0000DE0A0000}"/>
    <cellStyle name="Примечание 4 4 2 3 3" xfId="2779" xr:uid="{00000000-0005-0000-0000-0000DF0A0000}"/>
    <cellStyle name="Примечание 4 4 2 4" xfId="2780" xr:uid="{00000000-0005-0000-0000-0000E00A0000}"/>
    <cellStyle name="Примечание 4 4 2 4 2" xfId="2781" xr:uid="{00000000-0005-0000-0000-0000E10A0000}"/>
    <cellStyle name="Примечание 4 4 2 4 3" xfId="2782" xr:uid="{00000000-0005-0000-0000-0000E20A0000}"/>
    <cellStyle name="Примечание 4 4 2 5" xfId="2783" xr:uid="{00000000-0005-0000-0000-0000E30A0000}"/>
    <cellStyle name="Примечание 4 4 2 6" xfId="2784" xr:uid="{00000000-0005-0000-0000-0000E40A0000}"/>
    <cellStyle name="Примечание 4 4 3" xfId="2785" xr:uid="{00000000-0005-0000-0000-0000E50A0000}"/>
    <cellStyle name="Примечание 4 4 3 2" xfId="2786" xr:uid="{00000000-0005-0000-0000-0000E60A0000}"/>
    <cellStyle name="Примечание 4 4 3 2 2" xfId="2787" xr:uid="{00000000-0005-0000-0000-0000E70A0000}"/>
    <cellStyle name="Примечание 4 4 3 2 3" xfId="2788" xr:uid="{00000000-0005-0000-0000-0000E80A0000}"/>
    <cellStyle name="Примечание 4 4 3 3" xfId="2789" xr:uid="{00000000-0005-0000-0000-0000E90A0000}"/>
    <cellStyle name="Примечание 4 4 3 3 2" xfId="2790" xr:uid="{00000000-0005-0000-0000-0000EA0A0000}"/>
    <cellStyle name="Примечание 4 4 3 3 3" xfId="2791" xr:uid="{00000000-0005-0000-0000-0000EB0A0000}"/>
    <cellStyle name="Примечание 4 4 3 4" xfId="2792" xr:uid="{00000000-0005-0000-0000-0000EC0A0000}"/>
    <cellStyle name="Примечание 4 4 3 4 2" xfId="2793" xr:uid="{00000000-0005-0000-0000-0000ED0A0000}"/>
    <cellStyle name="Примечание 4 4 3 4 3" xfId="2794" xr:uid="{00000000-0005-0000-0000-0000EE0A0000}"/>
    <cellStyle name="Примечание 4 4 3 5" xfId="2795" xr:uid="{00000000-0005-0000-0000-0000EF0A0000}"/>
    <cellStyle name="Примечание 4 4 3 6" xfId="2796" xr:uid="{00000000-0005-0000-0000-0000F00A0000}"/>
    <cellStyle name="Примечание 4 4 4" xfId="2797" xr:uid="{00000000-0005-0000-0000-0000F10A0000}"/>
    <cellStyle name="Примечание 4 4 4 2" xfId="2798" xr:uid="{00000000-0005-0000-0000-0000F20A0000}"/>
    <cellStyle name="Примечание 4 4 4 2 2" xfId="2799" xr:uid="{00000000-0005-0000-0000-0000F30A0000}"/>
    <cellStyle name="Примечание 4 4 4 2 3" xfId="2800" xr:uid="{00000000-0005-0000-0000-0000F40A0000}"/>
    <cellStyle name="Примечание 4 4 4 3" xfId="2801" xr:uid="{00000000-0005-0000-0000-0000F50A0000}"/>
    <cellStyle name="Примечание 4 4 4 3 2" xfId="2802" xr:uid="{00000000-0005-0000-0000-0000F60A0000}"/>
    <cellStyle name="Примечание 4 4 4 3 3" xfId="2803" xr:uid="{00000000-0005-0000-0000-0000F70A0000}"/>
    <cellStyle name="Примечание 4 4 4 4" xfId="2804" xr:uid="{00000000-0005-0000-0000-0000F80A0000}"/>
    <cellStyle name="Примечание 4 4 4 4 2" xfId="2805" xr:uid="{00000000-0005-0000-0000-0000F90A0000}"/>
    <cellStyle name="Примечание 4 4 4 4 3" xfId="2806" xr:uid="{00000000-0005-0000-0000-0000FA0A0000}"/>
    <cellStyle name="Примечание 4 4 4 5" xfId="2807" xr:uid="{00000000-0005-0000-0000-0000FB0A0000}"/>
    <cellStyle name="Примечание 4 4 4 6" xfId="2808" xr:uid="{00000000-0005-0000-0000-0000FC0A0000}"/>
    <cellStyle name="Примечание 4 4 5" xfId="2809" xr:uid="{00000000-0005-0000-0000-0000FD0A0000}"/>
    <cellStyle name="Примечание 4 4 5 2" xfId="2810" xr:uid="{00000000-0005-0000-0000-0000FE0A0000}"/>
    <cellStyle name="Примечание 4 4 5 3" xfId="2811" xr:uid="{00000000-0005-0000-0000-0000FF0A0000}"/>
    <cellStyle name="Примечание 4 4 6" xfId="2812" xr:uid="{00000000-0005-0000-0000-0000000B0000}"/>
    <cellStyle name="Примечание 4 4 6 2" xfId="2813" xr:uid="{00000000-0005-0000-0000-0000010B0000}"/>
    <cellStyle name="Примечание 4 4 6 3" xfId="2814" xr:uid="{00000000-0005-0000-0000-0000020B0000}"/>
    <cellStyle name="Примечание 4 4 7" xfId="2815" xr:uid="{00000000-0005-0000-0000-0000030B0000}"/>
    <cellStyle name="Примечание 4 4 7 2" xfId="2816" xr:uid="{00000000-0005-0000-0000-0000040B0000}"/>
    <cellStyle name="Примечание 4 4 7 3" xfId="2817" xr:uid="{00000000-0005-0000-0000-0000050B0000}"/>
    <cellStyle name="Примечание 4 4 8" xfId="2818" xr:uid="{00000000-0005-0000-0000-0000060B0000}"/>
    <cellStyle name="Примечание 4 4 9" xfId="2819" xr:uid="{00000000-0005-0000-0000-0000070B0000}"/>
    <cellStyle name="Примечание 4 5" xfId="2820" xr:uid="{00000000-0005-0000-0000-0000080B0000}"/>
    <cellStyle name="Примечание 4 5 2" xfId="2821" xr:uid="{00000000-0005-0000-0000-0000090B0000}"/>
    <cellStyle name="Примечание 4 5 2 2" xfId="2822" xr:uid="{00000000-0005-0000-0000-00000A0B0000}"/>
    <cellStyle name="Примечание 4 5 2 3" xfId="2823" xr:uid="{00000000-0005-0000-0000-00000B0B0000}"/>
    <cellStyle name="Примечание 4 5 3" xfId="2824" xr:uid="{00000000-0005-0000-0000-00000C0B0000}"/>
    <cellStyle name="Примечание 4 5 3 2" xfId="2825" xr:uid="{00000000-0005-0000-0000-00000D0B0000}"/>
    <cellStyle name="Примечание 4 5 3 3" xfId="2826" xr:uid="{00000000-0005-0000-0000-00000E0B0000}"/>
    <cellStyle name="Примечание 4 5 4" xfId="2827" xr:uid="{00000000-0005-0000-0000-00000F0B0000}"/>
    <cellStyle name="Примечание 4 5 4 2" xfId="2828" xr:uid="{00000000-0005-0000-0000-0000100B0000}"/>
    <cellStyle name="Примечание 4 5 4 3" xfId="2829" xr:uid="{00000000-0005-0000-0000-0000110B0000}"/>
    <cellStyle name="Примечание 4 5 5" xfId="2830" xr:uid="{00000000-0005-0000-0000-0000120B0000}"/>
    <cellStyle name="Примечание 4 5 6" xfId="2831" xr:uid="{00000000-0005-0000-0000-0000130B0000}"/>
    <cellStyle name="Примечание 4 6" xfId="2832" xr:uid="{00000000-0005-0000-0000-0000140B0000}"/>
    <cellStyle name="Примечание 4 6 2" xfId="2833" xr:uid="{00000000-0005-0000-0000-0000150B0000}"/>
    <cellStyle name="Примечание 4 6 2 2" xfId="2834" xr:uid="{00000000-0005-0000-0000-0000160B0000}"/>
    <cellStyle name="Примечание 4 6 2 3" xfId="2835" xr:uid="{00000000-0005-0000-0000-0000170B0000}"/>
    <cellStyle name="Примечание 4 6 3" xfId="2836" xr:uid="{00000000-0005-0000-0000-0000180B0000}"/>
    <cellStyle name="Примечание 4 6 3 2" xfId="2837" xr:uid="{00000000-0005-0000-0000-0000190B0000}"/>
    <cellStyle name="Примечание 4 6 3 3" xfId="2838" xr:uid="{00000000-0005-0000-0000-00001A0B0000}"/>
    <cellStyle name="Примечание 4 6 4" xfId="2839" xr:uid="{00000000-0005-0000-0000-00001B0B0000}"/>
    <cellStyle name="Примечание 4 6 4 2" xfId="2840" xr:uid="{00000000-0005-0000-0000-00001C0B0000}"/>
    <cellStyle name="Примечание 4 6 4 3" xfId="2841" xr:uid="{00000000-0005-0000-0000-00001D0B0000}"/>
    <cellStyle name="Примечание 4 6 5" xfId="2842" xr:uid="{00000000-0005-0000-0000-00001E0B0000}"/>
    <cellStyle name="Примечание 4 6 6" xfId="2843" xr:uid="{00000000-0005-0000-0000-00001F0B0000}"/>
    <cellStyle name="Примечание 4 7" xfId="2844" xr:uid="{00000000-0005-0000-0000-0000200B0000}"/>
    <cellStyle name="Примечание 4 7 2" xfId="2845" xr:uid="{00000000-0005-0000-0000-0000210B0000}"/>
    <cellStyle name="Примечание 4 7 2 2" xfId="2846" xr:uid="{00000000-0005-0000-0000-0000220B0000}"/>
    <cellStyle name="Примечание 4 7 2 3" xfId="2847" xr:uid="{00000000-0005-0000-0000-0000230B0000}"/>
    <cellStyle name="Примечание 4 7 3" xfId="2848" xr:uid="{00000000-0005-0000-0000-0000240B0000}"/>
    <cellStyle name="Примечание 4 7 3 2" xfId="2849" xr:uid="{00000000-0005-0000-0000-0000250B0000}"/>
    <cellStyle name="Примечание 4 7 3 3" xfId="2850" xr:uid="{00000000-0005-0000-0000-0000260B0000}"/>
    <cellStyle name="Примечание 4 7 4" xfId="2851" xr:uid="{00000000-0005-0000-0000-0000270B0000}"/>
    <cellStyle name="Примечание 4 7 4 2" xfId="2852" xr:uid="{00000000-0005-0000-0000-0000280B0000}"/>
    <cellStyle name="Примечание 4 7 4 3" xfId="2853" xr:uid="{00000000-0005-0000-0000-0000290B0000}"/>
    <cellStyle name="Примечание 4 7 5" xfId="2854" xr:uid="{00000000-0005-0000-0000-00002A0B0000}"/>
    <cellStyle name="Примечание 4 7 6" xfId="2855" xr:uid="{00000000-0005-0000-0000-00002B0B0000}"/>
    <cellStyle name="Примечание 4 8" xfId="2856" xr:uid="{00000000-0005-0000-0000-00002C0B0000}"/>
    <cellStyle name="Примечание 4 8 2" xfId="2857" xr:uid="{00000000-0005-0000-0000-00002D0B0000}"/>
    <cellStyle name="Примечание 4 8 3" xfId="2858" xr:uid="{00000000-0005-0000-0000-00002E0B0000}"/>
    <cellStyle name="Примечание 4 9" xfId="2859" xr:uid="{00000000-0005-0000-0000-00002F0B0000}"/>
    <cellStyle name="Примечание 4 9 2" xfId="2860" xr:uid="{00000000-0005-0000-0000-0000300B0000}"/>
    <cellStyle name="Примечание 4 9 3" xfId="2861" xr:uid="{00000000-0005-0000-0000-0000310B0000}"/>
    <cellStyle name="Примечание 5" xfId="2862" xr:uid="{00000000-0005-0000-0000-0000320B0000}"/>
    <cellStyle name="Примечание 5 10" xfId="2863" xr:uid="{00000000-0005-0000-0000-0000330B0000}"/>
    <cellStyle name="Примечание 5 11" xfId="2864" xr:uid="{00000000-0005-0000-0000-0000340B0000}"/>
    <cellStyle name="Примечание 5 2" xfId="2865" xr:uid="{00000000-0005-0000-0000-0000350B0000}"/>
    <cellStyle name="Примечание 5 2 2" xfId="2866" xr:uid="{00000000-0005-0000-0000-0000360B0000}"/>
    <cellStyle name="Примечание 5 2 2 2" xfId="2867" xr:uid="{00000000-0005-0000-0000-0000370B0000}"/>
    <cellStyle name="Примечание 5 2 2 2 2" xfId="2868" xr:uid="{00000000-0005-0000-0000-0000380B0000}"/>
    <cellStyle name="Примечание 5 2 2 2 3" xfId="2869" xr:uid="{00000000-0005-0000-0000-0000390B0000}"/>
    <cellStyle name="Примечание 5 2 2 3" xfId="2870" xr:uid="{00000000-0005-0000-0000-00003A0B0000}"/>
    <cellStyle name="Примечание 5 2 2 3 2" xfId="2871" xr:uid="{00000000-0005-0000-0000-00003B0B0000}"/>
    <cellStyle name="Примечание 5 2 2 3 3" xfId="2872" xr:uid="{00000000-0005-0000-0000-00003C0B0000}"/>
    <cellStyle name="Примечание 5 2 2 4" xfId="2873" xr:uid="{00000000-0005-0000-0000-00003D0B0000}"/>
    <cellStyle name="Примечание 5 2 2 4 2" xfId="2874" xr:uid="{00000000-0005-0000-0000-00003E0B0000}"/>
    <cellStyle name="Примечание 5 2 2 4 3" xfId="2875" xr:uid="{00000000-0005-0000-0000-00003F0B0000}"/>
    <cellStyle name="Примечание 5 2 2 5" xfId="2876" xr:uid="{00000000-0005-0000-0000-0000400B0000}"/>
    <cellStyle name="Примечание 5 2 2 6" xfId="2877" xr:uid="{00000000-0005-0000-0000-0000410B0000}"/>
    <cellStyle name="Примечание 5 2 3" xfId="2878" xr:uid="{00000000-0005-0000-0000-0000420B0000}"/>
    <cellStyle name="Примечание 5 2 3 2" xfId="2879" xr:uid="{00000000-0005-0000-0000-0000430B0000}"/>
    <cellStyle name="Примечание 5 2 3 2 2" xfId="2880" xr:uid="{00000000-0005-0000-0000-0000440B0000}"/>
    <cellStyle name="Примечание 5 2 3 2 3" xfId="2881" xr:uid="{00000000-0005-0000-0000-0000450B0000}"/>
    <cellStyle name="Примечание 5 2 3 3" xfId="2882" xr:uid="{00000000-0005-0000-0000-0000460B0000}"/>
    <cellStyle name="Примечание 5 2 3 3 2" xfId="2883" xr:uid="{00000000-0005-0000-0000-0000470B0000}"/>
    <cellStyle name="Примечание 5 2 3 3 3" xfId="2884" xr:uid="{00000000-0005-0000-0000-0000480B0000}"/>
    <cellStyle name="Примечание 5 2 3 4" xfId="2885" xr:uid="{00000000-0005-0000-0000-0000490B0000}"/>
    <cellStyle name="Примечание 5 2 3 4 2" xfId="2886" xr:uid="{00000000-0005-0000-0000-00004A0B0000}"/>
    <cellStyle name="Примечание 5 2 3 4 3" xfId="2887" xr:uid="{00000000-0005-0000-0000-00004B0B0000}"/>
    <cellStyle name="Примечание 5 2 3 5" xfId="2888" xr:uid="{00000000-0005-0000-0000-00004C0B0000}"/>
    <cellStyle name="Примечание 5 2 3 6" xfId="2889" xr:uid="{00000000-0005-0000-0000-00004D0B0000}"/>
    <cellStyle name="Примечание 5 2 4" xfId="2890" xr:uid="{00000000-0005-0000-0000-00004E0B0000}"/>
    <cellStyle name="Примечание 5 2 4 2" xfId="2891" xr:uid="{00000000-0005-0000-0000-00004F0B0000}"/>
    <cellStyle name="Примечание 5 2 4 2 2" xfId="2892" xr:uid="{00000000-0005-0000-0000-0000500B0000}"/>
    <cellStyle name="Примечание 5 2 4 2 3" xfId="2893" xr:uid="{00000000-0005-0000-0000-0000510B0000}"/>
    <cellStyle name="Примечание 5 2 4 3" xfId="2894" xr:uid="{00000000-0005-0000-0000-0000520B0000}"/>
    <cellStyle name="Примечание 5 2 4 3 2" xfId="2895" xr:uid="{00000000-0005-0000-0000-0000530B0000}"/>
    <cellStyle name="Примечание 5 2 4 3 3" xfId="2896" xr:uid="{00000000-0005-0000-0000-0000540B0000}"/>
    <cellStyle name="Примечание 5 2 4 4" xfId="2897" xr:uid="{00000000-0005-0000-0000-0000550B0000}"/>
    <cellStyle name="Примечание 5 2 4 4 2" xfId="2898" xr:uid="{00000000-0005-0000-0000-0000560B0000}"/>
    <cellStyle name="Примечание 5 2 4 4 3" xfId="2899" xr:uid="{00000000-0005-0000-0000-0000570B0000}"/>
    <cellStyle name="Примечание 5 2 4 5" xfId="2900" xr:uid="{00000000-0005-0000-0000-0000580B0000}"/>
    <cellStyle name="Примечание 5 2 4 6" xfId="2901" xr:uid="{00000000-0005-0000-0000-0000590B0000}"/>
    <cellStyle name="Примечание 5 2 5" xfId="2902" xr:uid="{00000000-0005-0000-0000-00005A0B0000}"/>
    <cellStyle name="Примечание 5 2 5 2" xfId="2903" xr:uid="{00000000-0005-0000-0000-00005B0B0000}"/>
    <cellStyle name="Примечание 5 2 5 3" xfId="2904" xr:uid="{00000000-0005-0000-0000-00005C0B0000}"/>
    <cellStyle name="Примечание 5 2 6" xfId="2905" xr:uid="{00000000-0005-0000-0000-00005D0B0000}"/>
    <cellStyle name="Примечание 5 2 6 2" xfId="2906" xr:uid="{00000000-0005-0000-0000-00005E0B0000}"/>
    <cellStyle name="Примечание 5 2 6 3" xfId="2907" xr:uid="{00000000-0005-0000-0000-00005F0B0000}"/>
    <cellStyle name="Примечание 5 2 7" xfId="2908" xr:uid="{00000000-0005-0000-0000-0000600B0000}"/>
    <cellStyle name="Примечание 5 2 7 2" xfId="2909" xr:uid="{00000000-0005-0000-0000-0000610B0000}"/>
    <cellStyle name="Примечание 5 2 7 3" xfId="2910" xr:uid="{00000000-0005-0000-0000-0000620B0000}"/>
    <cellStyle name="Примечание 5 2 8" xfId="2911" xr:uid="{00000000-0005-0000-0000-0000630B0000}"/>
    <cellStyle name="Примечание 5 2 9" xfId="2912" xr:uid="{00000000-0005-0000-0000-0000640B0000}"/>
    <cellStyle name="Примечание 5 3" xfId="2913" xr:uid="{00000000-0005-0000-0000-0000650B0000}"/>
    <cellStyle name="Примечание 5 3 2" xfId="2914" xr:uid="{00000000-0005-0000-0000-0000660B0000}"/>
    <cellStyle name="Примечание 5 3 2 2" xfId="2915" xr:uid="{00000000-0005-0000-0000-0000670B0000}"/>
    <cellStyle name="Примечание 5 3 2 2 2" xfId="2916" xr:uid="{00000000-0005-0000-0000-0000680B0000}"/>
    <cellStyle name="Примечание 5 3 2 2 3" xfId="2917" xr:uid="{00000000-0005-0000-0000-0000690B0000}"/>
    <cellStyle name="Примечание 5 3 2 3" xfId="2918" xr:uid="{00000000-0005-0000-0000-00006A0B0000}"/>
    <cellStyle name="Примечание 5 3 2 3 2" xfId="2919" xr:uid="{00000000-0005-0000-0000-00006B0B0000}"/>
    <cellStyle name="Примечание 5 3 2 3 3" xfId="2920" xr:uid="{00000000-0005-0000-0000-00006C0B0000}"/>
    <cellStyle name="Примечание 5 3 2 4" xfId="2921" xr:uid="{00000000-0005-0000-0000-00006D0B0000}"/>
    <cellStyle name="Примечание 5 3 2 4 2" xfId="2922" xr:uid="{00000000-0005-0000-0000-00006E0B0000}"/>
    <cellStyle name="Примечание 5 3 2 4 3" xfId="2923" xr:uid="{00000000-0005-0000-0000-00006F0B0000}"/>
    <cellStyle name="Примечание 5 3 2 5" xfId="2924" xr:uid="{00000000-0005-0000-0000-0000700B0000}"/>
    <cellStyle name="Примечание 5 3 2 6" xfId="2925" xr:uid="{00000000-0005-0000-0000-0000710B0000}"/>
    <cellStyle name="Примечание 5 3 3" xfId="2926" xr:uid="{00000000-0005-0000-0000-0000720B0000}"/>
    <cellStyle name="Примечание 5 3 3 2" xfId="2927" xr:uid="{00000000-0005-0000-0000-0000730B0000}"/>
    <cellStyle name="Примечание 5 3 3 2 2" xfId="2928" xr:uid="{00000000-0005-0000-0000-0000740B0000}"/>
    <cellStyle name="Примечание 5 3 3 2 3" xfId="2929" xr:uid="{00000000-0005-0000-0000-0000750B0000}"/>
    <cellStyle name="Примечание 5 3 3 3" xfId="2930" xr:uid="{00000000-0005-0000-0000-0000760B0000}"/>
    <cellStyle name="Примечание 5 3 3 3 2" xfId="2931" xr:uid="{00000000-0005-0000-0000-0000770B0000}"/>
    <cellStyle name="Примечание 5 3 3 3 3" xfId="2932" xr:uid="{00000000-0005-0000-0000-0000780B0000}"/>
    <cellStyle name="Примечание 5 3 3 4" xfId="2933" xr:uid="{00000000-0005-0000-0000-0000790B0000}"/>
    <cellStyle name="Примечание 5 3 3 4 2" xfId="2934" xr:uid="{00000000-0005-0000-0000-00007A0B0000}"/>
    <cellStyle name="Примечание 5 3 3 4 3" xfId="2935" xr:uid="{00000000-0005-0000-0000-00007B0B0000}"/>
    <cellStyle name="Примечание 5 3 3 5" xfId="2936" xr:uid="{00000000-0005-0000-0000-00007C0B0000}"/>
    <cellStyle name="Примечание 5 3 3 6" xfId="2937" xr:uid="{00000000-0005-0000-0000-00007D0B0000}"/>
    <cellStyle name="Примечание 5 3 4" xfId="2938" xr:uid="{00000000-0005-0000-0000-00007E0B0000}"/>
    <cellStyle name="Примечание 5 3 4 2" xfId="2939" xr:uid="{00000000-0005-0000-0000-00007F0B0000}"/>
    <cellStyle name="Примечание 5 3 4 2 2" xfId="2940" xr:uid="{00000000-0005-0000-0000-0000800B0000}"/>
    <cellStyle name="Примечание 5 3 4 2 3" xfId="2941" xr:uid="{00000000-0005-0000-0000-0000810B0000}"/>
    <cellStyle name="Примечание 5 3 4 3" xfId="2942" xr:uid="{00000000-0005-0000-0000-0000820B0000}"/>
    <cellStyle name="Примечание 5 3 4 3 2" xfId="2943" xr:uid="{00000000-0005-0000-0000-0000830B0000}"/>
    <cellStyle name="Примечание 5 3 4 3 3" xfId="2944" xr:uid="{00000000-0005-0000-0000-0000840B0000}"/>
    <cellStyle name="Примечание 5 3 4 4" xfId="2945" xr:uid="{00000000-0005-0000-0000-0000850B0000}"/>
    <cellStyle name="Примечание 5 3 4 4 2" xfId="2946" xr:uid="{00000000-0005-0000-0000-0000860B0000}"/>
    <cellStyle name="Примечание 5 3 4 4 3" xfId="2947" xr:uid="{00000000-0005-0000-0000-0000870B0000}"/>
    <cellStyle name="Примечание 5 3 4 5" xfId="2948" xr:uid="{00000000-0005-0000-0000-0000880B0000}"/>
    <cellStyle name="Примечание 5 3 4 6" xfId="2949" xr:uid="{00000000-0005-0000-0000-0000890B0000}"/>
    <cellStyle name="Примечание 5 3 5" xfId="2950" xr:uid="{00000000-0005-0000-0000-00008A0B0000}"/>
    <cellStyle name="Примечание 5 3 5 2" xfId="2951" xr:uid="{00000000-0005-0000-0000-00008B0B0000}"/>
    <cellStyle name="Примечание 5 3 5 3" xfId="2952" xr:uid="{00000000-0005-0000-0000-00008C0B0000}"/>
    <cellStyle name="Примечание 5 3 6" xfId="2953" xr:uid="{00000000-0005-0000-0000-00008D0B0000}"/>
    <cellStyle name="Примечание 5 3 6 2" xfId="2954" xr:uid="{00000000-0005-0000-0000-00008E0B0000}"/>
    <cellStyle name="Примечание 5 3 6 3" xfId="2955" xr:uid="{00000000-0005-0000-0000-00008F0B0000}"/>
    <cellStyle name="Примечание 5 3 7" xfId="2956" xr:uid="{00000000-0005-0000-0000-0000900B0000}"/>
    <cellStyle name="Примечание 5 3 7 2" xfId="2957" xr:uid="{00000000-0005-0000-0000-0000910B0000}"/>
    <cellStyle name="Примечание 5 3 7 3" xfId="2958" xr:uid="{00000000-0005-0000-0000-0000920B0000}"/>
    <cellStyle name="Примечание 5 3 8" xfId="2959" xr:uid="{00000000-0005-0000-0000-0000930B0000}"/>
    <cellStyle name="Примечание 5 3 9" xfId="2960" xr:uid="{00000000-0005-0000-0000-0000940B0000}"/>
    <cellStyle name="Примечание 5 4" xfId="2961" xr:uid="{00000000-0005-0000-0000-0000950B0000}"/>
    <cellStyle name="Примечание 5 4 2" xfId="2962" xr:uid="{00000000-0005-0000-0000-0000960B0000}"/>
    <cellStyle name="Примечание 5 4 2 2" xfId="2963" xr:uid="{00000000-0005-0000-0000-0000970B0000}"/>
    <cellStyle name="Примечание 5 4 2 3" xfId="2964" xr:uid="{00000000-0005-0000-0000-0000980B0000}"/>
    <cellStyle name="Примечание 5 4 3" xfId="2965" xr:uid="{00000000-0005-0000-0000-0000990B0000}"/>
    <cellStyle name="Примечание 5 4 3 2" xfId="2966" xr:uid="{00000000-0005-0000-0000-00009A0B0000}"/>
    <cellStyle name="Примечание 5 4 3 3" xfId="2967" xr:uid="{00000000-0005-0000-0000-00009B0B0000}"/>
    <cellStyle name="Примечание 5 4 4" xfId="2968" xr:uid="{00000000-0005-0000-0000-00009C0B0000}"/>
    <cellStyle name="Примечание 5 4 4 2" xfId="2969" xr:uid="{00000000-0005-0000-0000-00009D0B0000}"/>
    <cellStyle name="Примечание 5 4 4 3" xfId="2970" xr:uid="{00000000-0005-0000-0000-00009E0B0000}"/>
    <cellStyle name="Примечание 5 4 5" xfId="2971" xr:uid="{00000000-0005-0000-0000-00009F0B0000}"/>
    <cellStyle name="Примечание 5 4 6" xfId="2972" xr:uid="{00000000-0005-0000-0000-0000A00B0000}"/>
    <cellStyle name="Примечание 5 5" xfId="2973" xr:uid="{00000000-0005-0000-0000-0000A10B0000}"/>
    <cellStyle name="Примечание 5 5 2" xfId="2974" xr:uid="{00000000-0005-0000-0000-0000A20B0000}"/>
    <cellStyle name="Примечание 5 5 2 2" xfId="2975" xr:uid="{00000000-0005-0000-0000-0000A30B0000}"/>
    <cellStyle name="Примечание 5 5 2 3" xfId="2976" xr:uid="{00000000-0005-0000-0000-0000A40B0000}"/>
    <cellStyle name="Примечание 5 5 3" xfId="2977" xr:uid="{00000000-0005-0000-0000-0000A50B0000}"/>
    <cellStyle name="Примечание 5 5 3 2" xfId="2978" xr:uid="{00000000-0005-0000-0000-0000A60B0000}"/>
    <cellStyle name="Примечание 5 5 3 3" xfId="2979" xr:uid="{00000000-0005-0000-0000-0000A70B0000}"/>
    <cellStyle name="Примечание 5 5 4" xfId="2980" xr:uid="{00000000-0005-0000-0000-0000A80B0000}"/>
    <cellStyle name="Примечание 5 5 4 2" xfId="2981" xr:uid="{00000000-0005-0000-0000-0000A90B0000}"/>
    <cellStyle name="Примечание 5 5 4 3" xfId="2982" xr:uid="{00000000-0005-0000-0000-0000AA0B0000}"/>
    <cellStyle name="Примечание 5 5 5" xfId="2983" xr:uid="{00000000-0005-0000-0000-0000AB0B0000}"/>
    <cellStyle name="Примечание 5 5 6" xfId="2984" xr:uid="{00000000-0005-0000-0000-0000AC0B0000}"/>
    <cellStyle name="Примечание 5 6" xfId="2985" xr:uid="{00000000-0005-0000-0000-0000AD0B0000}"/>
    <cellStyle name="Примечание 5 6 2" xfId="2986" xr:uid="{00000000-0005-0000-0000-0000AE0B0000}"/>
    <cellStyle name="Примечание 5 6 2 2" xfId="2987" xr:uid="{00000000-0005-0000-0000-0000AF0B0000}"/>
    <cellStyle name="Примечание 5 6 2 3" xfId="2988" xr:uid="{00000000-0005-0000-0000-0000B00B0000}"/>
    <cellStyle name="Примечание 5 6 3" xfId="2989" xr:uid="{00000000-0005-0000-0000-0000B10B0000}"/>
    <cellStyle name="Примечание 5 6 3 2" xfId="2990" xr:uid="{00000000-0005-0000-0000-0000B20B0000}"/>
    <cellStyle name="Примечание 5 6 3 3" xfId="2991" xr:uid="{00000000-0005-0000-0000-0000B30B0000}"/>
    <cellStyle name="Примечание 5 6 4" xfId="2992" xr:uid="{00000000-0005-0000-0000-0000B40B0000}"/>
    <cellStyle name="Примечание 5 6 4 2" xfId="2993" xr:uid="{00000000-0005-0000-0000-0000B50B0000}"/>
    <cellStyle name="Примечание 5 6 4 3" xfId="2994" xr:uid="{00000000-0005-0000-0000-0000B60B0000}"/>
    <cellStyle name="Примечание 5 6 5" xfId="2995" xr:uid="{00000000-0005-0000-0000-0000B70B0000}"/>
    <cellStyle name="Примечание 5 6 6" xfId="2996" xr:uid="{00000000-0005-0000-0000-0000B80B0000}"/>
    <cellStyle name="Примечание 5 7" xfId="2997" xr:uid="{00000000-0005-0000-0000-0000B90B0000}"/>
    <cellStyle name="Примечание 5 7 2" xfId="2998" xr:uid="{00000000-0005-0000-0000-0000BA0B0000}"/>
    <cellStyle name="Примечание 5 7 3" xfId="2999" xr:uid="{00000000-0005-0000-0000-0000BB0B0000}"/>
    <cellStyle name="Примечание 5 8" xfId="3000" xr:uid="{00000000-0005-0000-0000-0000BC0B0000}"/>
    <cellStyle name="Примечание 5 8 2" xfId="3001" xr:uid="{00000000-0005-0000-0000-0000BD0B0000}"/>
    <cellStyle name="Примечание 5 8 3" xfId="3002" xr:uid="{00000000-0005-0000-0000-0000BE0B0000}"/>
    <cellStyle name="Примечание 5 9" xfId="3003" xr:uid="{00000000-0005-0000-0000-0000BF0B0000}"/>
    <cellStyle name="Примечание 5 9 2" xfId="3004" xr:uid="{00000000-0005-0000-0000-0000C00B0000}"/>
    <cellStyle name="Примечание 5 9 3" xfId="3005" xr:uid="{00000000-0005-0000-0000-0000C10B0000}"/>
    <cellStyle name="Примечание 6" xfId="3006" xr:uid="{00000000-0005-0000-0000-0000C20B0000}"/>
    <cellStyle name="Примечание 6 10" xfId="3007" xr:uid="{00000000-0005-0000-0000-0000C30B0000}"/>
    <cellStyle name="Примечание 6 2" xfId="3008" xr:uid="{00000000-0005-0000-0000-0000C40B0000}"/>
    <cellStyle name="Примечание 6 2 2" xfId="3009" xr:uid="{00000000-0005-0000-0000-0000C50B0000}"/>
    <cellStyle name="Примечание 6 2 2 2" xfId="3010" xr:uid="{00000000-0005-0000-0000-0000C60B0000}"/>
    <cellStyle name="Примечание 6 2 2 2 2" xfId="3011" xr:uid="{00000000-0005-0000-0000-0000C70B0000}"/>
    <cellStyle name="Примечание 6 2 2 2 3" xfId="3012" xr:uid="{00000000-0005-0000-0000-0000C80B0000}"/>
    <cellStyle name="Примечание 6 2 2 3" xfId="3013" xr:uid="{00000000-0005-0000-0000-0000C90B0000}"/>
    <cellStyle name="Примечание 6 2 2 3 2" xfId="3014" xr:uid="{00000000-0005-0000-0000-0000CA0B0000}"/>
    <cellStyle name="Примечание 6 2 2 3 3" xfId="3015" xr:uid="{00000000-0005-0000-0000-0000CB0B0000}"/>
    <cellStyle name="Примечание 6 2 2 4" xfId="3016" xr:uid="{00000000-0005-0000-0000-0000CC0B0000}"/>
    <cellStyle name="Примечание 6 2 2 4 2" xfId="3017" xr:uid="{00000000-0005-0000-0000-0000CD0B0000}"/>
    <cellStyle name="Примечание 6 2 2 4 3" xfId="3018" xr:uid="{00000000-0005-0000-0000-0000CE0B0000}"/>
    <cellStyle name="Примечание 6 2 2 5" xfId="3019" xr:uid="{00000000-0005-0000-0000-0000CF0B0000}"/>
    <cellStyle name="Примечание 6 2 2 6" xfId="3020" xr:uid="{00000000-0005-0000-0000-0000D00B0000}"/>
    <cellStyle name="Примечание 6 2 3" xfId="3021" xr:uid="{00000000-0005-0000-0000-0000D10B0000}"/>
    <cellStyle name="Примечание 6 2 3 2" xfId="3022" xr:uid="{00000000-0005-0000-0000-0000D20B0000}"/>
    <cellStyle name="Примечание 6 2 3 2 2" xfId="3023" xr:uid="{00000000-0005-0000-0000-0000D30B0000}"/>
    <cellStyle name="Примечание 6 2 3 2 3" xfId="3024" xr:uid="{00000000-0005-0000-0000-0000D40B0000}"/>
    <cellStyle name="Примечание 6 2 3 3" xfId="3025" xr:uid="{00000000-0005-0000-0000-0000D50B0000}"/>
    <cellStyle name="Примечание 6 2 3 3 2" xfId="3026" xr:uid="{00000000-0005-0000-0000-0000D60B0000}"/>
    <cellStyle name="Примечание 6 2 3 3 3" xfId="3027" xr:uid="{00000000-0005-0000-0000-0000D70B0000}"/>
    <cellStyle name="Примечание 6 2 3 4" xfId="3028" xr:uid="{00000000-0005-0000-0000-0000D80B0000}"/>
    <cellStyle name="Примечание 6 2 3 4 2" xfId="3029" xr:uid="{00000000-0005-0000-0000-0000D90B0000}"/>
    <cellStyle name="Примечание 6 2 3 4 3" xfId="3030" xr:uid="{00000000-0005-0000-0000-0000DA0B0000}"/>
    <cellStyle name="Примечание 6 2 3 5" xfId="3031" xr:uid="{00000000-0005-0000-0000-0000DB0B0000}"/>
    <cellStyle name="Примечание 6 2 3 6" xfId="3032" xr:uid="{00000000-0005-0000-0000-0000DC0B0000}"/>
    <cellStyle name="Примечание 6 2 4" xfId="3033" xr:uid="{00000000-0005-0000-0000-0000DD0B0000}"/>
    <cellStyle name="Примечание 6 2 4 2" xfId="3034" xr:uid="{00000000-0005-0000-0000-0000DE0B0000}"/>
    <cellStyle name="Примечание 6 2 4 2 2" xfId="3035" xr:uid="{00000000-0005-0000-0000-0000DF0B0000}"/>
    <cellStyle name="Примечание 6 2 4 2 3" xfId="3036" xr:uid="{00000000-0005-0000-0000-0000E00B0000}"/>
    <cellStyle name="Примечание 6 2 4 3" xfId="3037" xr:uid="{00000000-0005-0000-0000-0000E10B0000}"/>
    <cellStyle name="Примечание 6 2 4 3 2" xfId="3038" xr:uid="{00000000-0005-0000-0000-0000E20B0000}"/>
    <cellStyle name="Примечание 6 2 4 3 3" xfId="3039" xr:uid="{00000000-0005-0000-0000-0000E30B0000}"/>
    <cellStyle name="Примечание 6 2 4 4" xfId="3040" xr:uid="{00000000-0005-0000-0000-0000E40B0000}"/>
    <cellStyle name="Примечание 6 2 4 4 2" xfId="3041" xr:uid="{00000000-0005-0000-0000-0000E50B0000}"/>
    <cellStyle name="Примечание 6 2 4 4 3" xfId="3042" xr:uid="{00000000-0005-0000-0000-0000E60B0000}"/>
    <cellStyle name="Примечание 6 2 4 5" xfId="3043" xr:uid="{00000000-0005-0000-0000-0000E70B0000}"/>
    <cellStyle name="Примечание 6 2 4 6" xfId="3044" xr:uid="{00000000-0005-0000-0000-0000E80B0000}"/>
    <cellStyle name="Примечание 6 2 5" xfId="3045" xr:uid="{00000000-0005-0000-0000-0000E90B0000}"/>
    <cellStyle name="Примечание 6 2 5 2" xfId="3046" xr:uid="{00000000-0005-0000-0000-0000EA0B0000}"/>
    <cellStyle name="Примечание 6 2 5 3" xfId="3047" xr:uid="{00000000-0005-0000-0000-0000EB0B0000}"/>
    <cellStyle name="Примечание 6 2 6" xfId="3048" xr:uid="{00000000-0005-0000-0000-0000EC0B0000}"/>
    <cellStyle name="Примечание 6 2 6 2" xfId="3049" xr:uid="{00000000-0005-0000-0000-0000ED0B0000}"/>
    <cellStyle name="Примечание 6 2 6 3" xfId="3050" xr:uid="{00000000-0005-0000-0000-0000EE0B0000}"/>
    <cellStyle name="Примечание 6 2 7" xfId="3051" xr:uid="{00000000-0005-0000-0000-0000EF0B0000}"/>
    <cellStyle name="Примечание 6 2 7 2" xfId="3052" xr:uid="{00000000-0005-0000-0000-0000F00B0000}"/>
    <cellStyle name="Примечание 6 2 7 3" xfId="3053" xr:uid="{00000000-0005-0000-0000-0000F10B0000}"/>
    <cellStyle name="Примечание 6 2 8" xfId="3054" xr:uid="{00000000-0005-0000-0000-0000F20B0000}"/>
    <cellStyle name="Примечание 6 2 9" xfId="3055" xr:uid="{00000000-0005-0000-0000-0000F30B0000}"/>
    <cellStyle name="Примечание 6 3" xfId="3056" xr:uid="{00000000-0005-0000-0000-0000F40B0000}"/>
    <cellStyle name="Примечание 6 3 2" xfId="3057" xr:uid="{00000000-0005-0000-0000-0000F50B0000}"/>
    <cellStyle name="Примечание 6 3 2 2" xfId="3058" xr:uid="{00000000-0005-0000-0000-0000F60B0000}"/>
    <cellStyle name="Примечание 6 3 2 3" xfId="3059" xr:uid="{00000000-0005-0000-0000-0000F70B0000}"/>
    <cellStyle name="Примечание 6 3 3" xfId="3060" xr:uid="{00000000-0005-0000-0000-0000F80B0000}"/>
    <cellStyle name="Примечание 6 3 3 2" xfId="3061" xr:uid="{00000000-0005-0000-0000-0000F90B0000}"/>
    <cellStyle name="Примечание 6 3 3 3" xfId="3062" xr:uid="{00000000-0005-0000-0000-0000FA0B0000}"/>
    <cellStyle name="Примечание 6 3 4" xfId="3063" xr:uid="{00000000-0005-0000-0000-0000FB0B0000}"/>
    <cellStyle name="Примечание 6 3 4 2" xfId="3064" xr:uid="{00000000-0005-0000-0000-0000FC0B0000}"/>
    <cellStyle name="Примечание 6 3 4 3" xfId="3065" xr:uid="{00000000-0005-0000-0000-0000FD0B0000}"/>
    <cellStyle name="Примечание 6 3 5" xfId="3066" xr:uid="{00000000-0005-0000-0000-0000FE0B0000}"/>
    <cellStyle name="Примечание 6 3 6" xfId="3067" xr:uid="{00000000-0005-0000-0000-0000FF0B0000}"/>
    <cellStyle name="Примечание 6 4" xfId="3068" xr:uid="{00000000-0005-0000-0000-0000000C0000}"/>
    <cellStyle name="Примечание 6 4 2" xfId="3069" xr:uid="{00000000-0005-0000-0000-0000010C0000}"/>
    <cellStyle name="Примечание 6 4 2 2" xfId="3070" xr:uid="{00000000-0005-0000-0000-0000020C0000}"/>
    <cellStyle name="Примечание 6 4 2 3" xfId="3071" xr:uid="{00000000-0005-0000-0000-0000030C0000}"/>
    <cellStyle name="Примечание 6 4 3" xfId="3072" xr:uid="{00000000-0005-0000-0000-0000040C0000}"/>
    <cellStyle name="Примечание 6 4 3 2" xfId="3073" xr:uid="{00000000-0005-0000-0000-0000050C0000}"/>
    <cellStyle name="Примечание 6 4 3 3" xfId="3074" xr:uid="{00000000-0005-0000-0000-0000060C0000}"/>
    <cellStyle name="Примечание 6 4 4" xfId="3075" xr:uid="{00000000-0005-0000-0000-0000070C0000}"/>
    <cellStyle name="Примечание 6 4 4 2" xfId="3076" xr:uid="{00000000-0005-0000-0000-0000080C0000}"/>
    <cellStyle name="Примечание 6 4 4 3" xfId="3077" xr:uid="{00000000-0005-0000-0000-0000090C0000}"/>
    <cellStyle name="Примечание 6 4 5" xfId="3078" xr:uid="{00000000-0005-0000-0000-00000A0C0000}"/>
    <cellStyle name="Примечание 6 4 6" xfId="3079" xr:uid="{00000000-0005-0000-0000-00000B0C0000}"/>
    <cellStyle name="Примечание 6 5" xfId="3080" xr:uid="{00000000-0005-0000-0000-00000C0C0000}"/>
    <cellStyle name="Примечание 6 5 2" xfId="3081" xr:uid="{00000000-0005-0000-0000-00000D0C0000}"/>
    <cellStyle name="Примечание 6 5 2 2" xfId="3082" xr:uid="{00000000-0005-0000-0000-00000E0C0000}"/>
    <cellStyle name="Примечание 6 5 2 3" xfId="3083" xr:uid="{00000000-0005-0000-0000-00000F0C0000}"/>
    <cellStyle name="Примечание 6 5 3" xfId="3084" xr:uid="{00000000-0005-0000-0000-0000100C0000}"/>
    <cellStyle name="Примечание 6 5 3 2" xfId="3085" xr:uid="{00000000-0005-0000-0000-0000110C0000}"/>
    <cellStyle name="Примечание 6 5 3 3" xfId="3086" xr:uid="{00000000-0005-0000-0000-0000120C0000}"/>
    <cellStyle name="Примечание 6 5 4" xfId="3087" xr:uid="{00000000-0005-0000-0000-0000130C0000}"/>
    <cellStyle name="Примечание 6 5 4 2" xfId="3088" xr:uid="{00000000-0005-0000-0000-0000140C0000}"/>
    <cellStyle name="Примечание 6 5 4 3" xfId="3089" xr:uid="{00000000-0005-0000-0000-0000150C0000}"/>
    <cellStyle name="Примечание 6 5 5" xfId="3090" xr:uid="{00000000-0005-0000-0000-0000160C0000}"/>
    <cellStyle name="Примечание 6 5 6" xfId="3091" xr:uid="{00000000-0005-0000-0000-0000170C0000}"/>
    <cellStyle name="Примечание 6 6" xfId="3092" xr:uid="{00000000-0005-0000-0000-0000180C0000}"/>
    <cellStyle name="Примечание 6 6 2" xfId="3093" xr:uid="{00000000-0005-0000-0000-0000190C0000}"/>
    <cellStyle name="Примечание 6 6 3" xfId="3094" xr:uid="{00000000-0005-0000-0000-00001A0C0000}"/>
    <cellStyle name="Примечание 6 7" xfId="3095" xr:uid="{00000000-0005-0000-0000-00001B0C0000}"/>
    <cellStyle name="Примечание 6 7 2" xfId="3096" xr:uid="{00000000-0005-0000-0000-00001C0C0000}"/>
    <cellStyle name="Примечание 6 7 3" xfId="3097" xr:uid="{00000000-0005-0000-0000-00001D0C0000}"/>
    <cellStyle name="Примечание 6 8" xfId="3098" xr:uid="{00000000-0005-0000-0000-00001E0C0000}"/>
    <cellStyle name="Примечание 6 8 2" xfId="3099" xr:uid="{00000000-0005-0000-0000-00001F0C0000}"/>
    <cellStyle name="Примечание 6 8 3" xfId="3100" xr:uid="{00000000-0005-0000-0000-0000200C0000}"/>
    <cellStyle name="Примечание 6 9" xfId="3101" xr:uid="{00000000-0005-0000-0000-0000210C0000}"/>
    <cellStyle name="Примечание 7" xfId="3102" xr:uid="{00000000-0005-0000-0000-0000220C0000}"/>
    <cellStyle name="Примечание 7 2" xfId="3103" xr:uid="{00000000-0005-0000-0000-0000230C0000}"/>
    <cellStyle name="Примечание 7 2 2" xfId="3104" xr:uid="{00000000-0005-0000-0000-0000240C0000}"/>
    <cellStyle name="Примечание 7 2 2 2" xfId="3105" xr:uid="{00000000-0005-0000-0000-0000250C0000}"/>
    <cellStyle name="Примечание 7 2 2 3" xfId="3106" xr:uid="{00000000-0005-0000-0000-0000260C0000}"/>
    <cellStyle name="Примечание 7 2 3" xfId="3107" xr:uid="{00000000-0005-0000-0000-0000270C0000}"/>
    <cellStyle name="Примечание 7 2 3 2" xfId="3108" xr:uid="{00000000-0005-0000-0000-0000280C0000}"/>
    <cellStyle name="Примечание 7 2 3 3" xfId="3109" xr:uid="{00000000-0005-0000-0000-0000290C0000}"/>
    <cellStyle name="Примечание 7 2 4" xfId="3110" xr:uid="{00000000-0005-0000-0000-00002A0C0000}"/>
    <cellStyle name="Примечание 7 2 4 2" xfId="3111" xr:uid="{00000000-0005-0000-0000-00002B0C0000}"/>
    <cellStyle name="Примечание 7 2 4 3" xfId="3112" xr:uid="{00000000-0005-0000-0000-00002C0C0000}"/>
    <cellStyle name="Примечание 7 2 5" xfId="3113" xr:uid="{00000000-0005-0000-0000-00002D0C0000}"/>
    <cellStyle name="Примечание 7 2 6" xfId="3114" xr:uid="{00000000-0005-0000-0000-00002E0C0000}"/>
    <cellStyle name="Примечание 7 3" xfId="3115" xr:uid="{00000000-0005-0000-0000-00002F0C0000}"/>
    <cellStyle name="Примечание 7 3 2" xfId="3116" xr:uid="{00000000-0005-0000-0000-0000300C0000}"/>
    <cellStyle name="Примечание 7 3 2 2" xfId="3117" xr:uid="{00000000-0005-0000-0000-0000310C0000}"/>
    <cellStyle name="Примечание 7 3 2 3" xfId="3118" xr:uid="{00000000-0005-0000-0000-0000320C0000}"/>
    <cellStyle name="Примечание 7 3 3" xfId="3119" xr:uid="{00000000-0005-0000-0000-0000330C0000}"/>
    <cellStyle name="Примечание 7 3 3 2" xfId="3120" xr:uid="{00000000-0005-0000-0000-0000340C0000}"/>
    <cellStyle name="Примечание 7 3 3 3" xfId="3121" xr:uid="{00000000-0005-0000-0000-0000350C0000}"/>
    <cellStyle name="Примечание 7 3 4" xfId="3122" xr:uid="{00000000-0005-0000-0000-0000360C0000}"/>
    <cellStyle name="Примечание 7 3 4 2" xfId="3123" xr:uid="{00000000-0005-0000-0000-0000370C0000}"/>
    <cellStyle name="Примечание 7 3 4 3" xfId="3124" xr:uid="{00000000-0005-0000-0000-0000380C0000}"/>
    <cellStyle name="Примечание 7 3 5" xfId="3125" xr:uid="{00000000-0005-0000-0000-0000390C0000}"/>
    <cellStyle name="Примечание 7 3 6" xfId="3126" xr:uid="{00000000-0005-0000-0000-00003A0C0000}"/>
    <cellStyle name="Примечание 7 4" xfId="3127" xr:uid="{00000000-0005-0000-0000-00003B0C0000}"/>
    <cellStyle name="Примечание 7 4 2" xfId="3128" xr:uid="{00000000-0005-0000-0000-00003C0C0000}"/>
    <cellStyle name="Примечание 7 4 2 2" xfId="3129" xr:uid="{00000000-0005-0000-0000-00003D0C0000}"/>
    <cellStyle name="Примечание 7 4 2 3" xfId="3130" xr:uid="{00000000-0005-0000-0000-00003E0C0000}"/>
    <cellStyle name="Примечание 7 4 3" xfId="3131" xr:uid="{00000000-0005-0000-0000-00003F0C0000}"/>
    <cellStyle name="Примечание 7 4 3 2" xfId="3132" xr:uid="{00000000-0005-0000-0000-0000400C0000}"/>
    <cellStyle name="Примечание 7 4 3 3" xfId="3133" xr:uid="{00000000-0005-0000-0000-0000410C0000}"/>
    <cellStyle name="Примечание 7 4 4" xfId="3134" xr:uid="{00000000-0005-0000-0000-0000420C0000}"/>
    <cellStyle name="Примечание 7 4 4 2" xfId="3135" xr:uid="{00000000-0005-0000-0000-0000430C0000}"/>
    <cellStyle name="Примечание 7 4 4 3" xfId="3136" xr:uid="{00000000-0005-0000-0000-0000440C0000}"/>
    <cellStyle name="Примечание 7 4 5" xfId="3137" xr:uid="{00000000-0005-0000-0000-0000450C0000}"/>
    <cellStyle name="Примечание 7 4 6" xfId="3138" xr:uid="{00000000-0005-0000-0000-0000460C0000}"/>
    <cellStyle name="Примечание 7 5" xfId="3139" xr:uid="{00000000-0005-0000-0000-0000470C0000}"/>
    <cellStyle name="Примечание 7 5 2" xfId="3140" xr:uid="{00000000-0005-0000-0000-0000480C0000}"/>
    <cellStyle name="Примечание 7 5 3" xfId="3141" xr:uid="{00000000-0005-0000-0000-0000490C0000}"/>
    <cellStyle name="Примечание 7 6" xfId="3142" xr:uid="{00000000-0005-0000-0000-00004A0C0000}"/>
    <cellStyle name="Примечание 7 6 2" xfId="3143" xr:uid="{00000000-0005-0000-0000-00004B0C0000}"/>
    <cellStyle name="Примечание 7 6 3" xfId="3144" xr:uid="{00000000-0005-0000-0000-00004C0C0000}"/>
    <cellStyle name="Примечание 7 7" xfId="3145" xr:uid="{00000000-0005-0000-0000-00004D0C0000}"/>
    <cellStyle name="Примечание 7 7 2" xfId="3146" xr:uid="{00000000-0005-0000-0000-00004E0C0000}"/>
    <cellStyle name="Примечание 7 7 3" xfId="3147" xr:uid="{00000000-0005-0000-0000-00004F0C0000}"/>
    <cellStyle name="Примечание 7 8" xfId="3148" xr:uid="{00000000-0005-0000-0000-0000500C0000}"/>
    <cellStyle name="Примечание 7 9" xfId="3149" xr:uid="{00000000-0005-0000-0000-0000510C0000}"/>
    <cellStyle name="Примечание 8" xfId="3150" xr:uid="{00000000-0005-0000-0000-0000520C0000}"/>
    <cellStyle name="Примечание 8 2" xfId="3151" xr:uid="{00000000-0005-0000-0000-0000530C0000}"/>
    <cellStyle name="Примечание 8 2 2" xfId="3152" xr:uid="{00000000-0005-0000-0000-0000540C0000}"/>
    <cellStyle name="Примечание 8 2 3" xfId="3153" xr:uid="{00000000-0005-0000-0000-0000550C0000}"/>
    <cellStyle name="Примечание 8 3" xfId="3154" xr:uid="{00000000-0005-0000-0000-0000560C0000}"/>
    <cellStyle name="Примечание 8 3 2" xfId="3155" xr:uid="{00000000-0005-0000-0000-0000570C0000}"/>
    <cellStyle name="Примечание 8 3 3" xfId="3156" xr:uid="{00000000-0005-0000-0000-0000580C0000}"/>
    <cellStyle name="Процентный" xfId="3226" builtinId="5"/>
    <cellStyle name="Процентный 2" xfId="3157" xr:uid="{00000000-0005-0000-0000-00005A0C0000}"/>
    <cellStyle name="Процентный 2 2" xfId="3158" xr:uid="{00000000-0005-0000-0000-00005B0C0000}"/>
    <cellStyle name="Процентный 2 2 2" xfId="3159" xr:uid="{00000000-0005-0000-0000-00005C0C0000}"/>
    <cellStyle name="Процентный 2 3" xfId="3160" xr:uid="{00000000-0005-0000-0000-00005D0C0000}"/>
    <cellStyle name="Процентный 2 4" xfId="3161" xr:uid="{00000000-0005-0000-0000-00005E0C0000}"/>
    <cellStyle name="Процентный 2 5" xfId="3224" xr:uid="{00000000-0005-0000-0000-00005F0C0000}"/>
    <cellStyle name="Процентный 3" xfId="3162" xr:uid="{00000000-0005-0000-0000-0000600C0000}"/>
    <cellStyle name="Процентный 3 2" xfId="3163" xr:uid="{00000000-0005-0000-0000-0000610C0000}"/>
    <cellStyle name="Процентный 3 2 2" xfId="3164" xr:uid="{00000000-0005-0000-0000-0000620C0000}"/>
    <cellStyle name="Процентный 3 2 2 2" xfId="3165" xr:uid="{00000000-0005-0000-0000-0000630C0000}"/>
    <cellStyle name="Процентный 3 2 3" xfId="3166" xr:uid="{00000000-0005-0000-0000-0000640C0000}"/>
    <cellStyle name="Процентный 3 3" xfId="3167" xr:uid="{00000000-0005-0000-0000-0000650C0000}"/>
    <cellStyle name="Процентный 3 3 2" xfId="3168" xr:uid="{00000000-0005-0000-0000-0000660C0000}"/>
    <cellStyle name="Процентный 3 4" xfId="3169" xr:uid="{00000000-0005-0000-0000-0000670C0000}"/>
    <cellStyle name="Процентный 3 5" xfId="3170" xr:uid="{00000000-0005-0000-0000-0000680C0000}"/>
    <cellStyle name="Процентный 4" xfId="3171" xr:uid="{00000000-0005-0000-0000-0000690C0000}"/>
    <cellStyle name="Райцентр" xfId="3172" xr:uid="{00000000-0005-0000-0000-00006A0C0000}"/>
    <cellStyle name="Стандартный" xfId="3173" xr:uid="{00000000-0005-0000-0000-00006B0C0000}"/>
    <cellStyle name="Стиль 1" xfId="3174" xr:uid="{00000000-0005-0000-0000-00006C0C0000}"/>
    <cellStyle name="Стиль 1 2" xfId="3175" xr:uid="{00000000-0005-0000-0000-00006D0C0000}"/>
    <cellStyle name="Стиль 1 2 2" xfId="3176" xr:uid="{00000000-0005-0000-0000-00006E0C0000}"/>
    <cellStyle name="Стиль 1_ТЭО проекта 75% PON в СПб_v7_300610_принят за базу (75%)" xfId="3177" xr:uid="{00000000-0005-0000-0000-00006F0C0000}"/>
    <cellStyle name="Титул" xfId="3229" xr:uid="{00000000-0005-0000-0000-0000700C0000}"/>
    <cellStyle name="Тысячи [0]_PR_KOMPL" xfId="3178" xr:uid="{00000000-0005-0000-0000-0000710C0000}"/>
    <cellStyle name="Тысячи_Абонемент" xfId="3179" xr:uid="{00000000-0005-0000-0000-0000720C0000}"/>
    <cellStyle name="Финансовый" xfId="3225" builtinId="3"/>
    <cellStyle name="Финансовый 2" xfId="3" xr:uid="{00000000-0005-0000-0000-0000740C0000}"/>
    <cellStyle name="Финансовый 2 2" xfId="3180" xr:uid="{00000000-0005-0000-0000-0000750C0000}"/>
    <cellStyle name="Финансовый 3" xfId="3181" xr:uid="{00000000-0005-0000-0000-0000760C0000}"/>
    <cellStyle name="Финансовый 3 2" xfId="3182" xr:uid="{00000000-0005-0000-0000-0000770C0000}"/>
    <cellStyle name="Финансовый 3 2 2" xfId="3183" xr:uid="{00000000-0005-0000-0000-0000780C0000}"/>
    <cellStyle name="Финансовый 3 2 2 2" xfId="3184" xr:uid="{00000000-0005-0000-0000-0000790C0000}"/>
    <cellStyle name="Финансовый 3 2 3" xfId="3185" xr:uid="{00000000-0005-0000-0000-00007A0C0000}"/>
    <cellStyle name="Финансовый 3 3" xfId="3186" xr:uid="{00000000-0005-0000-0000-00007B0C0000}"/>
    <cellStyle name="Финансовый 3 3 2" xfId="3187" xr:uid="{00000000-0005-0000-0000-00007C0C0000}"/>
    <cellStyle name="Финансовый 3 4" xfId="3188" xr:uid="{00000000-0005-0000-0000-00007D0C0000}"/>
    <cellStyle name="Финансовый 3 5" xfId="3189" xr:uid="{00000000-0005-0000-0000-00007E0C0000}"/>
    <cellStyle name="Финансовый 3 6" xfId="3231" xr:uid="{00000000-0005-0000-0000-0000CD0C0000}"/>
    <cellStyle name="Финансовый 4" xfId="3190" xr:uid="{00000000-0005-0000-0000-00007F0C0000}"/>
    <cellStyle name="Финансовый 4 2" xfId="3191" xr:uid="{00000000-0005-0000-0000-0000800C0000}"/>
    <cellStyle name="Финансовый 4 2 2" xfId="3232" xr:uid="{00000000-0005-0000-0000-0000CE0C0000}"/>
    <cellStyle name="Финансовый 5" xfId="3192" xr:uid="{00000000-0005-0000-0000-0000810C0000}"/>
    <cellStyle name="Финансовый 5 2" xfId="3193" xr:uid="{00000000-0005-0000-0000-0000820C0000}"/>
    <cellStyle name="Финансовый 5 3" xfId="3194" xr:uid="{00000000-0005-0000-0000-0000830C0000}"/>
    <cellStyle name="Финансовый 6" xfId="3195" xr:uid="{00000000-0005-0000-0000-0000840C0000}"/>
    <cellStyle name="Финансовый 6 2" xfId="3196" xr:uid="{00000000-0005-0000-0000-0000850C0000}"/>
    <cellStyle name="Финансовый 7" xfId="3197" xr:uid="{00000000-0005-0000-0000-0000860C0000}"/>
    <cellStyle name="Финансовый 7 2" xfId="3233" xr:uid="{00000000-0005-0000-0000-0000CF0C0000}"/>
    <cellStyle name="Финансовый 8" xfId="3198" xr:uid="{00000000-0005-0000-0000-0000870C0000}"/>
    <cellStyle name="Финансовый 9" xfId="3240" xr:uid="{00000000-0005-0000-0000-0000CC0C0000}"/>
    <cellStyle name="Хвост" xfId="3227" xr:uid="{00000000-0005-0000-0000-0000880C0000}"/>
    <cellStyle name="э" xfId="3199" xr:uid="{00000000-0005-0000-0000-0000890C0000}"/>
    <cellStyle name="э__ОборотКЗП2 для БО" xfId="3200" xr:uid="{00000000-0005-0000-0000-00008A0C0000}"/>
    <cellStyle name="э__ОборотКЗП2 для БО_Invest_11_факт_март_для КОРРЕКТИРОВКИ ПЛАНА" xfId="3201" xr:uid="{00000000-0005-0000-0000-00008B0C0000}"/>
    <cellStyle name="э__ОборотКЗП2 для БО_Invest_11_факт_март_для КОРРЕКТИРОВКИ ПЛАНА 2" xfId="3234" xr:uid="{00000000-0005-0000-0000-0000D00C0000}"/>
    <cellStyle name="э_Inv" xfId="3202" xr:uid="{00000000-0005-0000-0000-00008C0C0000}"/>
    <cellStyle name="э_Inv_Invest_11_факт_март_для КОРРЕКТИРОВКИ ПЛАНА" xfId="3203" xr:uid="{00000000-0005-0000-0000-00008D0C0000}"/>
    <cellStyle name="э_Invest_11_факт_март_для КОРРЕКТИРОВКИ ПЛАНА" xfId="3204" xr:uid="{00000000-0005-0000-0000-00008E0C0000}"/>
    <cellStyle name="э_Invest_11_факт_март_для КОРРЕКТИРОВКИ ПЛАНА 2" xfId="3235" xr:uid="{00000000-0005-0000-0000-0000D10C0000}"/>
    <cellStyle name="э_PL вспомог" xfId="3205" xr:uid="{00000000-0005-0000-0000-00008F0C0000}"/>
    <cellStyle name="э_PL_СЗТ_2007_08.11.06" xfId="3206" xr:uid="{00000000-0005-0000-0000-0000900C0000}"/>
    <cellStyle name="э_PL_СЗТ_2007_08.11.06_Invest_11_факт_март_для КОРРЕКТИРОВКИ ПЛАНА" xfId="3207" xr:uid="{00000000-0005-0000-0000-0000910C0000}"/>
    <cellStyle name="э_PL_СЗТ_2007_08.11.06_Invest_11_факт_март_для КОРРЕКТИРОВКИ ПЛАНА 2" xfId="3236" xr:uid="{00000000-0005-0000-0000-0000D20C0000}"/>
    <cellStyle name="э_PL_СЗТ_4 кв 2006" xfId="3208" xr:uid="{00000000-0005-0000-0000-0000920C0000}"/>
    <cellStyle name="э_PL_СЗТ_4 кв 2006_Invest_11_факт_март_для КОРРЕКТИРОВКИ ПЛАНА" xfId="3209" xr:uid="{00000000-0005-0000-0000-0000930C0000}"/>
    <cellStyle name="э_PL_СЗТ_4 кв 2006_Invest_11_факт_март_для КОРРЕКТИРОВКИ ПЛАНА 2" xfId="3237" xr:uid="{00000000-0005-0000-0000-0000D30C0000}"/>
    <cellStyle name="э_Бюджет_2007" xfId="3210" xr:uid="{00000000-0005-0000-0000-0000940C0000}"/>
    <cellStyle name="э_Бюджет_2007_Invest_11_факт_март_для КОРРЕКТИРОВКИ ПЛАНА" xfId="3211" xr:uid="{00000000-0005-0000-0000-0000950C0000}"/>
    <cellStyle name="э_Бюджет_2007_Invest_11_факт_март_для КОРРЕКТИРОВКИ ПЛАНА 2" xfId="3238" xr:uid="{00000000-0005-0000-0000-0000D40C0000}"/>
    <cellStyle name="э_ГД" xfId="3212" xr:uid="{00000000-0005-0000-0000-0000960C0000}"/>
    <cellStyle name="э_ГД_Invest_11_факт_март_для КОРРЕКТИРОВКИ ПЛАНА" xfId="3213" xr:uid="{00000000-0005-0000-0000-0000970C0000}"/>
    <cellStyle name="э_ГД_Invest_11_факт_март_для КОРРЕКТИРОВКИ ПЛАНА 2" xfId="3239" xr:uid="{00000000-0005-0000-0000-0000D50C0000}"/>
    <cellStyle name="э_Кор-ки Инв" xfId="3214" xr:uid="{00000000-0005-0000-0000-0000980C0000}"/>
    <cellStyle name="э_Кор-ки Инв_Invest_11_факт_март_для КОРРЕКТИРОВКИ ПЛАНА" xfId="3215" xr:uid="{00000000-0005-0000-0000-0000990C0000}"/>
    <cellStyle name="э_СЗТ" xfId="3216" xr:uid="{00000000-0005-0000-0000-00009A0C0000}"/>
    <cellStyle name="э_СЗТ_Invest_11_факт_март_для КОРРЕКТИРОВКИ ПЛАНА" xfId="3217" xr:uid="{00000000-0005-0000-0000-00009B0C0000}"/>
    <cellStyle name="э_Утвержденный бюджет 27.06.05_ПТС" xfId="3218" xr:uid="{00000000-0005-0000-0000-00009C0C0000}"/>
    <cellStyle name="э_Утвержденный бюджет 27.06.05_ПТС_Invest_11_факт_март_для КОРРЕКТИРОВКИ ПЛАНА" xfId="3219" xr:uid="{00000000-0005-0000-0000-00009D0C0000}"/>
    <cellStyle name="常规_IRAQI" xfId="3220" xr:uid="{00000000-0005-0000-0000-00009E0C0000}"/>
  </cellStyles>
  <dxfs count="0"/>
  <tableStyles count="0" defaultTableStyle="TableStyleMedium2" defaultPivotStyle="PivotStyleLight16"/>
  <colors>
    <mruColors>
      <color rgb="FF0000FF"/>
      <color rgb="FFC55D6B"/>
      <color rgb="FF375D6B"/>
      <color rgb="FF8EABB9"/>
      <color rgb="FFCDDFE5"/>
      <color rgb="FFF1E8D5"/>
      <color rgb="FF6CA1B4"/>
      <color rgb="FFCCFFFF"/>
      <color rgb="FF000000"/>
      <color rgb="FFE7E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326390</xdr:colOff>
      <xdr:row>3</xdr:row>
      <xdr:rowOff>30480</xdr:rowOff>
    </xdr:from>
    <xdr:to>
      <xdr:col>7</xdr:col>
      <xdr:colOff>425450</xdr:colOff>
      <xdr:row>3</xdr:row>
      <xdr:rowOff>342900</xdr:rowOff>
    </xdr:to>
    <xdr:sp macro="" textlink="">
      <xdr:nvSpPr>
        <xdr:cNvPr id="5" name="Равнобедренный треугольник 4">
          <a:extLst>
            <a:ext uri="{FF2B5EF4-FFF2-40B4-BE49-F238E27FC236}">
              <a16:creationId xmlns:a16="http://schemas.microsoft.com/office/drawing/2014/main" id="{805FF98E-D560-44A5-AEFD-AFD59002AD73}"/>
            </a:ext>
          </a:extLst>
        </xdr:cNvPr>
        <xdr:cNvSpPr/>
      </xdr:nvSpPr>
      <xdr:spPr>
        <a:xfrm rot="16200000">
          <a:off x="16343630" y="1226820"/>
          <a:ext cx="312420" cy="99060"/>
        </a:xfrm>
        <a:prstGeom prst="triangle">
          <a:avLst/>
        </a:prstGeom>
        <a:solidFill>
          <a:srgbClr val="C55D6B"/>
        </a:solidFill>
        <a:ln>
          <a:solidFill>
            <a:srgbClr val="C55D6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7</xdr:col>
      <xdr:colOff>127000</xdr:colOff>
      <xdr:row>3</xdr:row>
      <xdr:rowOff>30480</xdr:rowOff>
    </xdr:from>
    <xdr:to>
      <xdr:col>7</xdr:col>
      <xdr:colOff>226060</xdr:colOff>
      <xdr:row>3</xdr:row>
      <xdr:rowOff>342900</xdr:rowOff>
    </xdr:to>
    <xdr:sp macro="" textlink="">
      <xdr:nvSpPr>
        <xdr:cNvPr id="6" name="Равнобедренный треугольник 5">
          <a:extLst>
            <a:ext uri="{FF2B5EF4-FFF2-40B4-BE49-F238E27FC236}">
              <a16:creationId xmlns:a16="http://schemas.microsoft.com/office/drawing/2014/main" id="{A0A59B65-D375-4205-B71B-9EA8FBCFDBF8}"/>
            </a:ext>
          </a:extLst>
        </xdr:cNvPr>
        <xdr:cNvSpPr/>
      </xdr:nvSpPr>
      <xdr:spPr>
        <a:xfrm rot="16200000">
          <a:off x="16144240" y="1226820"/>
          <a:ext cx="312420" cy="99060"/>
        </a:xfrm>
        <a:prstGeom prst="triangle">
          <a:avLst/>
        </a:prstGeom>
        <a:solidFill>
          <a:srgbClr val="C55D6B"/>
        </a:solidFill>
        <a:ln>
          <a:solidFill>
            <a:srgbClr val="C55D6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I645"/>
  <sheetViews>
    <sheetView showGridLines="0" tabSelected="1" zoomScale="60" zoomScaleNormal="60" workbookViewId="0">
      <selection activeCell="F11" sqref="F11"/>
    </sheetView>
  </sheetViews>
  <sheetFormatPr defaultColWidth="9.140625" defaultRowHeight="15" outlineLevelRow="1"/>
  <cols>
    <col min="1" max="1" width="9.28515625" style="5" customWidth="1"/>
    <col min="2" max="2" width="52.140625" style="5" customWidth="1"/>
    <col min="3" max="3" width="105.7109375" style="5" customWidth="1"/>
    <col min="4" max="4" width="12.7109375" style="6" customWidth="1"/>
    <col min="5" max="5" width="20.7109375" style="8" customWidth="1"/>
    <col min="6" max="6" width="18.7109375" style="9" customWidth="1"/>
    <col min="7" max="7" width="19.7109375" style="10" customWidth="1"/>
    <col min="8" max="8" width="47.28515625" style="6" customWidth="1"/>
    <col min="9" max="9" width="12.140625" style="1" customWidth="1"/>
    <col min="10" max="16384" width="9.140625" style="1"/>
  </cols>
  <sheetData>
    <row r="1" spans="1:8" s="2" customFormat="1" ht="15.75">
      <c r="A1" s="5"/>
      <c r="B1" s="5"/>
      <c r="C1" s="5"/>
      <c r="D1" s="6"/>
      <c r="E1" s="8"/>
      <c r="F1" s="9"/>
      <c r="G1" s="10"/>
      <c r="H1" s="7"/>
    </row>
    <row r="2" spans="1:8" ht="55.15" customHeight="1">
      <c r="A2" s="519" t="s">
        <v>1764</v>
      </c>
      <c r="B2" s="519"/>
      <c r="C2" s="519"/>
      <c r="D2" s="519"/>
      <c r="E2" s="519"/>
      <c r="F2" s="519"/>
      <c r="G2" s="519"/>
      <c r="H2" s="519"/>
    </row>
    <row r="3" spans="1:8" ht="15.75" thickBot="1">
      <c r="A3" s="12"/>
      <c r="B3" s="12"/>
      <c r="C3" s="12"/>
      <c r="D3" s="12"/>
      <c r="E3" s="13"/>
      <c r="F3" s="14"/>
      <c r="G3" s="15"/>
      <c r="H3" s="16"/>
    </row>
    <row r="4" spans="1:8" ht="31.5" thickTop="1" thickBot="1">
      <c r="A4" s="17" t="s">
        <v>1822</v>
      </c>
      <c r="B4" s="12"/>
      <c r="C4" s="12"/>
      <c r="D4" s="12"/>
      <c r="E4" s="13"/>
      <c r="F4" s="14"/>
      <c r="G4" s="506">
        <v>1</v>
      </c>
      <c r="H4" s="18" t="s">
        <v>1050</v>
      </c>
    </row>
    <row r="5" spans="1:8" ht="19.5" thickTop="1">
      <c r="A5" s="17"/>
      <c r="B5" s="12"/>
      <c r="C5" s="12"/>
      <c r="D5" s="12"/>
      <c r="E5" s="13"/>
      <c r="F5" s="14"/>
      <c r="G5" s="19"/>
      <c r="H5" s="18"/>
    </row>
    <row r="6" spans="1:8">
      <c r="A6" s="12"/>
      <c r="B6" s="12"/>
      <c r="C6" s="12"/>
      <c r="D6" s="12"/>
      <c r="E6" s="20">
        <f>COUNTA(E11:E619)</f>
        <v>500</v>
      </c>
      <c r="F6" s="20">
        <f>COUNTA(F11:F619)</f>
        <v>164</v>
      </c>
      <c r="G6" s="21">
        <f>COUNTA(G11:G619)-COUNTIF(G11:G619,"0")</f>
        <v>358</v>
      </c>
      <c r="H6" s="16"/>
    </row>
    <row r="7" spans="1:8" ht="90">
      <c r="A7" s="22" t="s">
        <v>73</v>
      </c>
      <c r="B7" s="22" t="s">
        <v>69</v>
      </c>
      <c r="C7" s="22" t="s">
        <v>6</v>
      </c>
      <c r="D7" s="22" t="s">
        <v>0</v>
      </c>
      <c r="E7" s="22" t="s">
        <v>68</v>
      </c>
      <c r="F7" s="22" t="s">
        <v>910</v>
      </c>
      <c r="G7" s="23" t="s">
        <v>124</v>
      </c>
      <c r="H7" s="24" t="s">
        <v>66</v>
      </c>
    </row>
    <row r="8" spans="1:8" s="2" customFormat="1" ht="12.6" customHeight="1">
      <c r="A8" s="25">
        <v>1</v>
      </c>
      <c r="B8" s="26">
        <v>2</v>
      </c>
      <c r="C8" s="26">
        <v>3</v>
      </c>
      <c r="D8" s="26">
        <v>4</v>
      </c>
      <c r="E8" s="27">
        <v>5</v>
      </c>
      <c r="F8" s="27">
        <v>6</v>
      </c>
      <c r="G8" s="28">
        <v>7</v>
      </c>
      <c r="H8" s="27">
        <v>8</v>
      </c>
    </row>
    <row r="9" spans="1:8" s="2" customFormat="1" ht="40.15" customHeight="1">
      <c r="A9" s="29">
        <v>1</v>
      </c>
      <c r="B9" s="524" t="s">
        <v>847</v>
      </c>
      <c r="C9" s="524"/>
      <c r="D9" s="30"/>
      <c r="E9" s="31"/>
      <c r="F9" s="32"/>
      <c r="G9" s="33"/>
      <c r="H9" s="34"/>
    </row>
    <row r="10" spans="1:8" s="2" customFormat="1" ht="40.15" customHeight="1" outlineLevel="1">
      <c r="A10" s="522" t="s">
        <v>1414</v>
      </c>
      <c r="B10" s="516"/>
      <c r="C10" s="517"/>
      <c r="D10" s="35"/>
      <c r="E10" s="31"/>
      <c r="F10" s="32"/>
      <c r="G10" s="31"/>
      <c r="H10" s="36" t="s">
        <v>1336</v>
      </c>
    </row>
    <row r="11" spans="1:8" s="2" customFormat="1" ht="89.25" outlineLevel="1">
      <c r="A11" s="37" t="s">
        <v>9</v>
      </c>
      <c r="B11" s="38" t="s">
        <v>1362</v>
      </c>
      <c r="C11" s="39" t="s">
        <v>1361</v>
      </c>
      <c r="D11" s="40"/>
      <c r="E11" s="41"/>
      <c r="F11" s="42"/>
      <c r="G11" s="43"/>
      <c r="H11" s="44" t="s">
        <v>615</v>
      </c>
    </row>
    <row r="12" spans="1:8" s="2" customFormat="1" ht="38.25" outlineLevel="1">
      <c r="A12" s="45" t="s">
        <v>228</v>
      </c>
      <c r="B12" s="45" t="s">
        <v>747</v>
      </c>
      <c r="C12" s="523" t="s">
        <v>1051</v>
      </c>
      <c r="D12" s="46" t="s">
        <v>229</v>
      </c>
      <c r="E12" s="47">
        <f>G4*1606.31</f>
        <v>1606.31</v>
      </c>
      <c r="F12" s="48"/>
      <c r="G12" s="49">
        <f>G4*295.23</f>
        <v>295.23</v>
      </c>
      <c r="H12" s="50" t="s">
        <v>70</v>
      </c>
    </row>
    <row r="13" spans="1:8" s="2" customFormat="1" ht="38.25" outlineLevel="1">
      <c r="A13" s="45" t="s">
        <v>230</v>
      </c>
      <c r="B13" s="45" t="s">
        <v>748</v>
      </c>
      <c r="C13" s="523"/>
      <c r="D13" s="46" t="s">
        <v>229</v>
      </c>
      <c r="E13" s="47">
        <f>G4*1429.46</f>
        <v>1429.46</v>
      </c>
      <c r="F13" s="48"/>
      <c r="G13" s="49">
        <f>G4*240.12</f>
        <v>240.12</v>
      </c>
      <c r="H13" s="50" t="s">
        <v>70</v>
      </c>
    </row>
    <row r="14" spans="1:8" s="2" customFormat="1" ht="38.25" outlineLevel="1">
      <c r="A14" s="45" t="s">
        <v>231</v>
      </c>
      <c r="B14" s="45" t="s">
        <v>749</v>
      </c>
      <c r="C14" s="523"/>
      <c r="D14" s="46" t="s">
        <v>229</v>
      </c>
      <c r="E14" s="47">
        <f>G4*1377.91</f>
        <v>1377.91</v>
      </c>
      <c r="F14" s="48"/>
      <c r="G14" s="49">
        <f>G4*221.19</f>
        <v>221.19</v>
      </c>
      <c r="H14" s="50" t="s">
        <v>70</v>
      </c>
    </row>
    <row r="15" spans="1:8" s="2" customFormat="1" ht="76.5" outlineLevel="1">
      <c r="A15" s="37" t="s">
        <v>232</v>
      </c>
      <c r="B15" s="51" t="s">
        <v>528</v>
      </c>
      <c r="C15" s="39" t="s">
        <v>1360</v>
      </c>
      <c r="D15" s="40"/>
      <c r="E15" s="52"/>
      <c r="F15" s="53"/>
      <c r="G15" s="54"/>
      <c r="H15" s="44" t="s">
        <v>635</v>
      </c>
    </row>
    <row r="16" spans="1:8" s="2" customFormat="1" ht="102" outlineLevel="1">
      <c r="A16" s="45" t="s">
        <v>233</v>
      </c>
      <c r="B16" s="55" t="s">
        <v>563</v>
      </c>
      <c r="C16" s="56" t="s">
        <v>1051</v>
      </c>
      <c r="D16" s="46" t="s">
        <v>229</v>
      </c>
      <c r="E16" s="47">
        <f>G4*2219.37</f>
        <v>2219.37</v>
      </c>
      <c r="F16" s="48"/>
      <c r="G16" s="49">
        <f>G4*261.58</f>
        <v>261.58</v>
      </c>
      <c r="H16" s="57" t="s">
        <v>744</v>
      </c>
    </row>
    <row r="17" spans="1:9" s="2" customFormat="1" ht="40.15" customHeight="1" outlineLevel="1">
      <c r="A17" s="516" t="s">
        <v>1413</v>
      </c>
      <c r="B17" s="516"/>
      <c r="C17" s="517"/>
      <c r="D17" s="58"/>
      <c r="E17" s="59"/>
      <c r="F17" s="60"/>
      <c r="G17" s="61"/>
      <c r="H17" s="36" t="s">
        <v>633</v>
      </c>
    </row>
    <row r="18" spans="1:9" s="2" customFormat="1" ht="76.5" outlineLevel="1">
      <c r="A18" s="62" t="s">
        <v>234</v>
      </c>
      <c r="B18" s="56" t="s">
        <v>634</v>
      </c>
      <c r="C18" s="63" t="s">
        <v>1355</v>
      </c>
      <c r="D18" s="64"/>
      <c r="E18" s="47"/>
      <c r="F18" s="65"/>
      <c r="G18" s="49"/>
      <c r="H18" s="66" t="s">
        <v>615</v>
      </c>
    </row>
    <row r="19" spans="1:9" s="2" customFormat="1" ht="38.25" outlineLevel="1">
      <c r="A19" s="62" t="s">
        <v>235</v>
      </c>
      <c r="B19" s="67" t="s">
        <v>745</v>
      </c>
      <c r="C19" s="68"/>
      <c r="D19" s="64" t="s">
        <v>229</v>
      </c>
      <c r="E19" s="47">
        <f>G4*1746.15</f>
        <v>1746.15</v>
      </c>
      <c r="F19" s="48"/>
      <c r="G19" s="49">
        <f>G4*379.83</f>
        <v>379.83</v>
      </c>
      <c r="H19" s="69" t="s">
        <v>70</v>
      </c>
    </row>
    <row r="20" spans="1:9" s="2" customFormat="1" ht="38.25" outlineLevel="1">
      <c r="A20" s="62" t="s">
        <v>236</v>
      </c>
      <c r="B20" s="67" t="s">
        <v>746</v>
      </c>
      <c r="C20" s="68"/>
      <c r="D20" s="64" t="s">
        <v>229</v>
      </c>
      <c r="E20" s="47">
        <f>G4*1557.1</f>
        <v>1557.1</v>
      </c>
      <c r="F20" s="48"/>
      <c r="G20" s="49">
        <f>G4*305.15</f>
        <v>305.14999999999998</v>
      </c>
      <c r="H20" s="69" t="s">
        <v>70</v>
      </c>
    </row>
    <row r="21" spans="1:9" s="2" customFormat="1" ht="40.15" customHeight="1">
      <c r="A21" s="70">
        <v>2</v>
      </c>
      <c r="B21" s="524" t="s">
        <v>848</v>
      </c>
      <c r="C21" s="524"/>
      <c r="D21" s="71"/>
      <c r="E21" s="72"/>
      <c r="F21" s="73"/>
      <c r="G21" s="33"/>
      <c r="H21" s="74"/>
      <c r="I21" s="513"/>
    </row>
    <row r="22" spans="1:9" s="2" customFormat="1" ht="40.15" customHeight="1" outlineLevel="1">
      <c r="A22" s="516" t="s">
        <v>1415</v>
      </c>
      <c r="B22" s="516"/>
      <c r="C22" s="517"/>
      <c r="D22" s="58"/>
      <c r="E22" s="75"/>
      <c r="F22" s="76"/>
      <c r="G22" s="77"/>
      <c r="H22" s="36" t="s">
        <v>772</v>
      </c>
    </row>
    <row r="23" spans="1:9" s="2" customFormat="1" ht="191.25" outlineLevel="1">
      <c r="A23" s="78" t="s">
        <v>10</v>
      </c>
      <c r="B23" s="79" t="s">
        <v>1379</v>
      </c>
      <c r="C23" s="79" t="s">
        <v>1357</v>
      </c>
      <c r="D23" s="46" t="s">
        <v>251</v>
      </c>
      <c r="E23" s="47">
        <f>G4*2559.44</f>
        <v>2559.44</v>
      </c>
      <c r="F23" s="48"/>
      <c r="G23" s="49">
        <f>G4*276.99</f>
        <v>276.99</v>
      </c>
      <c r="H23" s="66" t="s">
        <v>616</v>
      </c>
    </row>
    <row r="24" spans="1:9" s="2" customFormat="1" ht="127.5" outlineLevel="1">
      <c r="A24" s="78" t="s">
        <v>11</v>
      </c>
      <c r="B24" s="79" t="s">
        <v>1380</v>
      </c>
      <c r="C24" s="79" t="s">
        <v>1052</v>
      </c>
      <c r="D24" s="46" t="s">
        <v>251</v>
      </c>
      <c r="E24" s="47">
        <f>G4*4404.11</f>
        <v>4404.1099999999997</v>
      </c>
      <c r="F24" s="48"/>
      <c r="G24" s="49">
        <f>G4*364.05</f>
        <v>364.05</v>
      </c>
      <c r="H24" s="80" t="s">
        <v>1741</v>
      </c>
    </row>
    <row r="25" spans="1:9" s="2" customFormat="1" ht="178.5" outlineLevel="1">
      <c r="A25" s="78" t="s">
        <v>12</v>
      </c>
      <c r="B25" s="79" t="s">
        <v>529</v>
      </c>
      <c r="C25" s="79" t="s">
        <v>1356</v>
      </c>
      <c r="D25" s="46" t="s">
        <v>251</v>
      </c>
      <c r="E25" s="47">
        <f>G4*3157.74</f>
        <v>3157.74</v>
      </c>
      <c r="F25" s="48"/>
      <c r="G25" s="49">
        <f>G4*138.64</f>
        <v>138.63999999999999</v>
      </c>
      <c r="H25" s="66" t="s">
        <v>636</v>
      </c>
    </row>
    <row r="26" spans="1:9" s="2" customFormat="1" ht="15.75" outlineLevel="1">
      <c r="A26" s="81" t="s">
        <v>1381</v>
      </c>
      <c r="B26" s="82"/>
      <c r="C26" s="82"/>
      <c r="D26" s="83"/>
      <c r="E26" s="84"/>
      <c r="F26" s="85"/>
      <c r="G26" s="86"/>
      <c r="H26" s="87"/>
    </row>
    <row r="27" spans="1:9" s="2" customFormat="1" ht="15.75" outlineLevel="1">
      <c r="A27" s="88" t="s">
        <v>1382</v>
      </c>
      <c r="B27" s="89"/>
      <c r="C27" s="89"/>
      <c r="D27" s="90"/>
      <c r="E27" s="91"/>
      <c r="F27" s="92"/>
      <c r="G27" s="93"/>
      <c r="H27" s="94"/>
    </row>
    <row r="28" spans="1:9" s="2" customFormat="1" ht="15.75" outlineLevel="1">
      <c r="A28" s="95" t="s">
        <v>1383</v>
      </c>
      <c r="B28" s="89"/>
      <c r="C28" s="89"/>
      <c r="D28" s="90"/>
      <c r="E28" s="91"/>
      <c r="F28" s="92"/>
      <c r="G28" s="93"/>
      <c r="H28" s="94"/>
    </row>
    <row r="29" spans="1:9" s="2" customFormat="1" ht="15.75" outlineLevel="1">
      <c r="A29" s="95" t="s">
        <v>1384</v>
      </c>
      <c r="B29" s="89"/>
      <c r="C29" s="89"/>
      <c r="D29" s="90"/>
      <c r="E29" s="91"/>
      <c r="F29" s="92"/>
      <c r="G29" s="93"/>
      <c r="H29" s="94"/>
    </row>
    <row r="30" spans="1:9" s="2" customFormat="1" ht="15.75" outlineLevel="1">
      <c r="A30" s="95" t="s">
        <v>1385</v>
      </c>
      <c r="B30" s="89"/>
      <c r="C30" s="89"/>
      <c r="D30" s="90"/>
      <c r="E30" s="91"/>
      <c r="F30" s="92"/>
      <c r="G30" s="93"/>
      <c r="H30" s="94"/>
    </row>
    <row r="31" spans="1:9" s="2" customFormat="1" ht="15.75" outlineLevel="1">
      <c r="A31" s="95" t="s">
        <v>1387</v>
      </c>
      <c r="B31" s="89"/>
      <c r="C31" s="89"/>
      <c r="D31" s="90"/>
      <c r="E31" s="91"/>
      <c r="F31" s="92"/>
      <c r="G31" s="93"/>
      <c r="H31" s="94"/>
    </row>
    <row r="32" spans="1:9" s="2" customFormat="1" ht="9.6" customHeight="1" outlineLevel="1">
      <c r="A32" s="96" t="s">
        <v>1386</v>
      </c>
      <c r="B32" s="97"/>
      <c r="C32" s="98"/>
      <c r="D32" s="98"/>
      <c r="E32" s="99"/>
      <c r="F32" s="100"/>
      <c r="G32" s="101"/>
      <c r="H32" s="102"/>
    </row>
    <row r="33" spans="1:9" s="2" customFormat="1" ht="40.15" customHeight="1">
      <c r="A33" s="103">
        <v>3</v>
      </c>
      <c r="B33" s="525" t="s">
        <v>849</v>
      </c>
      <c r="C33" s="524"/>
      <c r="D33" s="71"/>
      <c r="E33" s="31"/>
      <c r="F33" s="32"/>
      <c r="G33" s="33"/>
      <c r="H33" s="34"/>
      <c r="I33" s="513"/>
    </row>
    <row r="34" spans="1:9" s="2" customFormat="1" ht="40.15" customHeight="1" outlineLevel="1">
      <c r="A34" s="104" t="s">
        <v>1416</v>
      </c>
      <c r="B34" s="105"/>
      <c r="C34" s="105"/>
      <c r="D34" s="106"/>
      <c r="E34" s="107"/>
      <c r="F34" s="108"/>
      <c r="G34" s="109"/>
      <c r="H34" s="110"/>
    </row>
    <row r="35" spans="1:9" s="2" customFormat="1" ht="153" outlineLevel="1">
      <c r="A35" s="111" t="s">
        <v>13</v>
      </c>
      <c r="B35" s="112" t="s">
        <v>1444</v>
      </c>
      <c r="C35" s="113" t="s">
        <v>1767</v>
      </c>
      <c r="D35" s="114"/>
      <c r="E35" s="115"/>
      <c r="F35" s="116"/>
      <c r="G35" s="117"/>
      <c r="H35" s="118" t="s">
        <v>530</v>
      </c>
    </row>
    <row r="36" spans="1:9" s="2" customFormat="1" ht="24" outlineLevel="1">
      <c r="A36" s="119" t="s">
        <v>252</v>
      </c>
      <c r="B36" s="120" t="s">
        <v>889</v>
      </c>
      <c r="C36" s="121"/>
      <c r="D36" s="122" t="s">
        <v>72</v>
      </c>
      <c r="E36" s="123">
        <f>G4*(160661.93-F36)+F36</f>
        <v>160661.93</v>
      </c>
      <c r="F36" s="65">
        <v>96397.16</v>
      </c>
      <c r="G36" s="124">
        <f>G4*16279.6</f>
        <v>16279.6</v>
      </c>
      <c r="H36" s="121" t="s">
        <v>70</v>
      </c>
      <c r="I36" s="11"/>
    </row>
    <row r="37" spans="1:9" s="2" customFormat="1" ht="25.5" outlineLevel="1">
      <c r="A37" s="119" t="s">
        <v>253</v>
      </c>
      <c r="B37" s="120" t="s">
        <v>99</v>
      </c>
      <c r="C37" s="121"/>
      <c r="D37" s="122" t="s">
        <v>72</v>
      </c>
      <c r="E37" s="123">
        <f>G4*(174339.91-F37)+F37</f>
        <v>174339.91</v>
      </c>
      <c r="F37" s="65">
        <v>104603.94</v>
      </c>
      <c r="G37" s="124">
        <f>G4*17665.57</f>
        <v>17665.57</v>
      </c>
      <c r="H37" s="121" t="s">
        <v>70</v>
      </c>
    </row>
    <row r="38" spans="1:9" s="2" customFormat="1" ht="25.5" outlineLevel="1">
      <c r="A38" s="119" t="s">
        <v>254</v>
      </c>
      <c r="B38" s="120" t="s">
        <v>958</v>
      </c>
      <c r="C38" s="121"/>
      <c r="D38" s="122" t="s">
        <v>72</v>
      </c>
      <c r="E38" s="123">
        <f>G4*(191024.4-F38)+F38</f>
        <v>191024.4</v>
      </c>
      <c r="F38" s="65">
        <v>114614.64</v>
      </c>
      <c r="G38" s="124">
        <f>G4*19576.37</f>
        <v>19576.37</v>
      </c>
      <c r="H38" s="121" t="s">
        <v>70</v>
      </c>
    </row>
    <row r="39" spans="1:9" s="2" customFormat="1" ht="25.5" outlineLevel="1">
      <c r="A39" s="119" t="s">
        <v>891</v>
      </c>
      <c r="B39" s="120" t="s">
        <v>890</v>
      </c>
      <c r="C39" s="121"/>
      <c r="D39" s="122" t="s">
        <v>72</v>
      </c>
      <c r="E39" s="123">
        <f>G4*(196180.76-F39)+F39</f>
        <v>196180.76</v>
      </c>
      <c r="F39" s="65">
        <v>117708.46</v>
      </c>
      <c r="G39" s="124">
        <f>G4*20336.13</f>
        <v>20336.13</v>
      </c>
      <c r="H39" s="121" t="s">
        <v>70</v>
      </c>
    </row>
    <row r="40" spans="1:9" s="2" customFormat="1" ht="24" outlineLevel="1">
      <c r="A40" s="119" t="s">
        <v>892</v>
      </c>
      <c r="B40" s="120" t="s">
        <v>959</v>
      </c>
      <c r="C40" s="121"/>
      <c r="D40" s="122" t="s">
        <v>72</v>
      </c>
      <c r="E40" s="123">
        <f>G4*(296725.28-F40)+F40</f>
        <v>296725.28000000003</v>
      </c>
      <c r="F40" s="125">
        <v>178035.17</v>
      </c>
      <c r="G40" s="124">
        <f>G4*31116.62</f>
        <v>31116.62</v>
      </c>
      <c r="H40" s="121"/>
      <c r="I40" s="513"/>
    </row>
    <row r="41" spans="1:9" s="2" customFormat="1" ht="178.5" outlineLevel="1">
      <c r="A41" s="111" t="s">
        <v>14</v>
      </c>
      <c r="B41" s="112" t="s">
        <v>1445</v>
      </c>
      <c r="C41" s="113" t="s">
        <v>1768</v>
      </c>
      <c r="D41" s="114"/>
      <c r="E41" s="126"/>
      <c r="F41" s="116"/>
      <c r="G41" s="117"/>
      <c r="H41" s="118" t="s">
        <v>530</v>
      </c>
    </row>
    <row r="42" spans="1:9" s="2" customFormat="1" ht="24" outlineLevel="1">
      <c r="A42" s="127" t="s">
        <v>255</v>
      </c>
      <c r="B42" s="120" t="s">
        <v>889</v>
      </c>
      <c r="C42" s="121"/>
      <c r="D42" s="128" t="s">
        <v>72</v>
      </c>
      <c r="E42" s="123">
        <f>G4*(320415.38-F42)+F42</f>
        <v>320415.38</v>
      </c>
      <c r="F42" s="65">
        <v>192249.22999999998</v>
      </c>
      <c r="G42" s="124">
        <f>G4*58125.09</f>
        <v>58125.09</v>
      </c>
      <c r="H42" s="129" t="s">
        <v>70</v>
      </c>
    </row>
    <row r="43" spans="1:9" s="2" customFormat="1" ht="25.5" outlineLevel="1">
      <c r="A43" s="127" t="s">
        <v>256</v>
      </c>
      <c r="B43" s="120" t="s">
        <v>99</v>
      </c>
      <c r="C43" s="121"/>
      <c r="D43" s="128" t="s">
        <v>72</v>
      </c>
      <c r="E43" s="123">
        <f>G4*(352789.49-F43)+F43</f>
        <v>352789.49</v>
      </c>
      <c r="F43" s="65">
        <v>211673.7</v>
      </c>
      <c r="G43" s="124">
        <f>G4*60725.69</f>
        <v>60725.69</v>
      </c>
      <c r="H43" s="129" t="s">
        <v>70</v>
      </c>
    </row>
    <row r="44" spans="1:9" s="2" customFormat="1" ht="25.5" outlineLevel="1">
      <c r="A44" s="127" t="s">
        <v>257</v>
      </c>
      <c r="B44" s="120" t="s">
        <v>958</v>
      </c>
      <c r="C44" s="121"/>
      <c r="D44" s="128" t="s">
        <v>72</v>
      </c>
      <c r="E44" s="123">
        <f>G4*(375140.75-F44)+F44</f>
        <v>375140.75</v>
      </c>
      <c r="F44" s="65">
        <v>225084.44999999998</v>
      </c>
      <c r="G44" s="124">
        <f>G4*63736.99</f>
        <v>63736.99</v>
      </c>
      <c r="H44" s="129" t="s">
        <v>70</v>
      </c>
    </row>
    <row r="45" spans="1:9" s="2" customFormat="1" ht="25.5" outlineLevel="1">
      <c r="A45" s="127" t="s">
        <v>893</v>
      </c>
      <c r="B45" s="120" t="s">
        <v>890</v>
      </c>
      <c r="C45" s="121"/>
      <c r="D45" s="128" t="s">
        <v>72</v>
      </c>
      <c r="E45" s="123">
        <f>G4*(381395.7-F45)+F45</f>
        <v>381395.7</v>
      </c>
      <c r="F45" s="65">
        <v>228837.41999999998</v>
      </c>
      <c r="G45" s="124">
        <f>G4*63923.49</f>
        <v>63923.49</v>
      </c>
      <c r="H45" s="129" t="s">
        <v>70</v>
      </c>
    </row>
    <row r="46" spans="1:9" s="2" customFormat="1" ht="24" outlineLevel="1">
      <c r="A46" s="127" t="s">
        <v>894</v>
      </c>
      <c r="B46" s="120" t="s">
        <v>959</v>
      </c>
      <c r="C46" s="121"/>
      <c r="D46" s="128" t="s">
        <v>72</v>
      </c>
      <c r="E46" s="123">
        <f>G4*(480495.16-F46)+F46</f>
        <v>480495.16</v>
      </c>
      <c r="F46" s="65">
        <v>288297.09999999998</v>
      </c>
      <c r="G46" s="124">
        <f>G4*75997.38</f>
        <v>75997.38</v>
      </c>
      <c r="H46" s="129" t="s">
        <v>70</v>
      </c>
      <c r="I46" s="513"/>
    </row>
    <row r="47" spans="1:9" s="2" customFormat="1" ht="140.25" outlineLevel="1">
      <c r="A47" s="111" t="s">
        <v>15</v>
      </c>
      <c r="B47" s="112" t="s">
        <v>1446</v>
      </c>
      <c r="C47" s="113" t="s">
        <v>1769</v>
      </c>
      <c r="D47" s="114"/>
      <c r="E47" s="126"/>
      <c r="F47" s="130"/>
      <c r="G47" s="117"/>
      <c r="H47" s="118" t="s">
        <v>530</v>
      </c>
    </row>
    <row r="48" spans="1:9" s="2" customFormat="1" ht="24" outlineLevel="1">
      <c r="A48" s="131" t="s">
        <v>258</v>
      </c>
      <c r="B48" s="120" t="s">
        <v>889</v>
      </c>
      <c r="C48" s="121"/>
      <c r="D48" s="122" t="s">
        <v>72</v>
      </c>
      <c r="E48" s="123">
        <f>G4*(191712.45-F48)+F48</f>
        <v>191712.45</v>
      </c>
      <c r="F48" s="65">
        <v>115027.47</v>
      </c>
      <c r="G48" s="124">
        <f>G4*19425.9</f>
        <v>19425.900000000001</v>
      </c>
      <c r="H48" s="132" t="s">
        <v>70</v>
      </c>
    </row>
    <row r="49" spans="1:9" s="2" customFormat="1" ht="25.5" outlineLevel="1">
      <c r="A49" s="131" t="s">
        <v>259</v>
      </c>
      <c r="B49" s="120" t="s">
        <v>99</v>
      </c>
      <c r="C49" s="121"/>
      <c r="D49" s="122" t="s">
        <v>72</v>
      </c>
      <c r="E49" s="123">
        <f>G4*(204261.82-F49)+F49</f>
        <v>204261.82</v>
      </c>
      <c r="F49" s="65">
        <v>122557.09</v>
      </c>
      <c r="G49" s="124">
        <f>G4*20697.51</f>
        <v>20697.509999999998</v>
      </c>
      <c r="H49" s="132" t="s">
        <v>70</v>
      </c>
    </row>
    <row r="50" spans="1:9" s="2" customFormat="1" ht="25.5" outlineLevel="1">
      <c r="A50" s="131" t="s">
        <v>260</v>
      </c>
      <c r="B50" s="120" t="s">
        <v>958</v>
      </c>
      <c r="C50" s="121"/>
      <c r="D50" s="122" t="s">
        <v>72</v>
      </c>
      <c r="E50" s="123">
        <f>G4*(220236.67-F50)+F50</f>
        <v>220236.67</v>
      </c>
      <c r="F50" s="65">
        <v>132142</v>
      </c>
      <c r="G50" s="124">
        <f>G4*22570.07</f>
        <v>22570.07</v>
      </c>
      <c r="H50" s="132" t="s">
        <v>70</v>
      </c>
    </row>
    <row r="51" spans="1:9" s="2" customFormat="1" ht="25.5" outlineLevel="1">
      <c r="A51" s="131" t="s">
        <v>895</v>
      </c>
      <c r="B51" s="120" t="s">
        <v>890</v>
      </c>
      <c r="C51" s="121"/>
      <c r="D51" s="122" t="s">
        <v>72</v>
      </c>
      <c r="E51" s="123">
        <f>G4*(222853.16-F51)+F51</f>
        <v>222853.16</v>
      </c>
      <c r="F51" s="65">
        <v>133711.9</v>
      </c>
      <c r="G51" s="124">
        <f>G4*23100.99</f>
        <v>23100.99</v>
      </c>
      <c r="H51" s="132" t="s">
        <v>70</v>
      </c>
    </row>
    <row r="52" spans="1:9" s="2" customFormat="1" ht="24" outlineLevel="1">
      <c r="A52" s="131" t="s">
        <v>896</v>
      </c>
      <c r="B52" s="120" t="s">
        <v>959</v>
      </c>
      <c r="C52" s="121"/>
      <c r="D52" s="122" t="s">
        <v>72</v>
      </c>
      <c r="E52" s="123">
        <f>G4*(319945.5-F52)+F52</f>
        <v>319945.5</v>
      </c>
      <c r="F52" s="65">
        <v>191967.3</v>
      </c>
      <c r="G52" s="124">
        <f>G4*33551.65</f>
        <v>33551.65</v>
      </c>
      <c r="H52" s="132" t="s">
        <v>70</v>
      </c>
      <c r="I52" s="513"/>
    </row>
    <row r="53" spans="1:9" s="2" customFormat="1" ht="15.75" outlineLevel="1">
      <c r="A53" s="133" t="s">
        <v>25</v>
      </c>
      <c r="B53" s="520" t="s">
        <v>1447</v>
      </c>
      <c r="C53" s="520"/>
      <c r="D53" s="134"/>
      <c r="E53" s="135"/>
      <c r="F53" s="136"/>
      <c r="G53" s="137"/>
      <c r="H53" s="132" t="s">
        <v>70</v>
      </c>
    </row>
    <row r="54" spans="1:9" s="2" customFormat="1" ht="77.25" outlineLevel="1">
      <c r="A54" s="127" t="s">
        <v>97</v>
      </c>
      <c r="B54" s="138" t="s">
        <v>262</v>
      </c>
      <c r="C54" s="521" t="s">
        <v>693</v>
      </c>
      <c r="D54" s="139" t="s">
        <v>263</v>
      </c>
      <c r="E54" s="140">
        <f>G4*5003.58</f>
        <v>5003.58</v>
      </c>
      <c r="F54" s="48"/>
      <c r="G54" s="141">
        <v>0</v>
      </c>
      <c r="H54" s="142" t="s">
        <v>70</v>
      </c>
    </row>
    <row r="55" spans="1:9" s="2" customFormat="1" ht="77.25" outlineLevel="1">
      <c r="A55" s="127" t="s">
        <v>98</v>
      </c>
      <c r="B55" s="138" t="s">
        <v>264</v>
      </c>
      <c r="C55" s="521"/>
      <c r="D55" s="139" t="s">
        <v>263</v>
      </c>
      <c r="E55" s="140">
        <f>G4*10299.97</f>
        <v>10299.969999999999</v>
      </c>
      <c r="F55" s="48"/>
      <c r="G55" s="141">
        <v>0</v>
      </c>
      <c r="H55" s="142" t="s">
        <v>70</v>
      </c>
    </row>
    <row r="56" spans="1:9" s="2" customFormat="1" ht="77.25" outlineLevel="1">
      <c r="A56" s="127" t="s">
        <v>753</v>
      </c>
      <c r="B56" s="138" t="s">
        <v>266</v>
      </c>
      <c r="C56" s="521"/>
      <c r="D56" s="139" t="s">
        <v>263</v>
      </c>
      <c r="E56" s="140">
        <f>G4*15045.45</f>
        <v>15045.45</v>
      </c>
      <c r="F56" s="48"/>
      <c r="G56" s="141">
        <v>0</v>
      </c>
      <c r="H56" s="142" t="s">
        <v>70</v>
      </c>
    </row>
    <row r="57" spans="1:9" s="2" customFormat="1" ht="77.25" outlineLevel="1">
      <c r="A57" s="127" t="s">
        <v>754</v>
      </c>
      <c r="B57" s="138" t="s">
        <v>268</v>
      </c>
      <c r="C57" s="521"/>
      <c r="D57" s="139" t="s">
        <v>263</v>
      </c>
      <c r="E57" s="140">
        <f>G4*19757.11</f>
        <v>19757.11</v>
      </c>
      <c r="F57" s="48"/>
      <c r="G57" s="141">
        <v>0</v>
      </c>
      <c r="H57" s="142" t="s">
        <v>70</v>
      </c>
    </row>
    <row r="58" spans="1:9" s="2" customFormat="1" ht="77.25" outlineLevel="1">
      <c r="A58" s="127" t="s">
        <v>755</v>
      </c>
      <c r="B58" s="138" t="s">
        <v>270</v>
      </c>
      <c r="C58" s="521"/>
      <c r="D58" s="139" t="s">
        <v>263</v>
      </c>
      <c r="E58" s="140">
        <f>G4*24491.02</f>
        <v>24491.02</v>
      </c>
      <c r="F58" s="48"/>
      <c r="G58" s="141">
        <v>0</v>
      </c>
      <c r="H58" s="142" t="s">
        <v>70</v>
      </c>
    </row>
    <row r="59" spans="1:9" s="2" customFormat="1" ht="77.25" outlineLevel="1">
      <c r="A59" s="127" t="s">
        <v>756</v>
      </c>
      <c r="B59" s="138" t="s">
        <v>272</v>
      </c>
      <c r="C59" s="521"/>
      <c r="D59" s="139" t="s">
        <v>263</v>
      </c>
      <c r="E59" s="140">
        <f>G4*29202.68</f>
        <v>29202.68</v>
      </c>
      <c r="F59" s="48"/>
      <c r="G59" s="141">
        <v>0</v>
      </c>
      <c r="H59" s="142" t="s">
        <v>70</v>
      </c>
    </row>
    <row r="60" spans="1:9" s="2" customFormat="1" ht="77.25" outlineLevel="1">
      <c r="A60" s="127" t="s">
        <v>757</v>
      </c>
      <c r="B60" s="138" t="s">
        <v>274</v>
      </c>
      <c r="C60" s="521"/>
      <c r="D60" s="139" t="s">
        <v>263</v>
      </c>
      <c r="E60" s="140">
        <f>G4*33936.59</f>
        <v>33936.589999999997</v>
      </c>
      <c r="F60" s="48"/>
      <c r="G60" s="141">
        <v>0</v>
      </c>
      <c r="H60" s="142" t="s">
        <v>70</v>
      </c>
    </row>
    <row r="61" spans="1:9" s="2" customFormat="1" ht="77.25" outlineLevel="1">
      <c r="A61" s="127" t="s">
        <v>758</v>
      </c>
      <c r="B61" s="138" t="s">
        <v>276</v>
      </c>
      <c r="C61" s="521"/>
      <c r="D61" s="139" t="s">
        <v>263</v>
      </c>
      <c r="E61" s="140">
        <f>G4*38653.59</f>
        <v>38653.589999999997</v>
      </c>
      <c r="F61" s="48"/>
      <c r="G61" s="141">
        <v>0</v>
      </c>
      <c r="H61" s="142" t="s">
        <v>70</v>
      </c>
    </row>
    <row r="62" spans="1:9" s="2" customFormat="1" ht="15.75" outlineLevel="1">
      <c r="A62" s="133" t="s">
        <v>26</v>
      </c>
      <c r="B62" s="520" t="s">
        <v>1448</v>
      </c>
      <c r="C62" s="520"/>
      <c r="D62" s="134"/>
      <c r="E62" s="126"/>
      <c r="F62" s="143"/>
      <c r="G62" s="137"/>
      <c r="H62" s="144"/>
      <c r="I62" s="513"/>
    </row>
    <row r="63" spans="1:9" s="2" customFormat="1" ht="77.25" outlineLevel="1">
      <c r="A63" s="127" t="s">
        <v>115</v>
      </c>
      <c r="B63" s="138" t="s">
        <v>262</v>
      </c>
      <c r="C63" s="521" t="s">
        <v>694</v>
      </c>
      <c r="D63" s="139" t="s">
        <v>263</v>
      </c>
      <c r="E63" s="140">
        <f>G4*5158.44</f>
        <v>5158.4399999999996</v>
      </c>
      <c r="F63" s="48"/>
      <c r="G63" s="141">
        <v>0</v>
      </c>
      <c r="H63" s="142" t="s">
        <v>70</v>
      </c>
    </row>
    <row r="64" spans="1:9" s="2" customFormat="1" ht="77.25" outlineLevel="1">
      <c r="A64" s="127" t="s">
        <v>116</v>
      </c>
      <c r="B64" s="138" t="s">
        <v>264</v>
      </c>
      <c r="C64" s="521"/>
      <c r="D64" s="139" t="s">
        <v>263</v>
      </c>
      <c r="E64" s="140">
        <f>G4*7198.32</f>
        <v>7198.32</v>
      </c>
      <c r="F64" s="48"/>
      <c r="G64" s="141">
        <v>0</v>
      </c>
      <c r="H64" s="142" t="s">
        <v>70</v>
      </c>
    </row>
    <row r="65" spans="1:9" s="2" customFormat="1" ht="77.25" outlineLevel="1">
      <c r="A65" s="127" t="s">
        <v>265</v>
      </c>
      <c r="B65" s="138" t="s">
        <v>266</v>
      </c>
      <c r="C65" s="521"/>
      <c r="D65" s="139" t="s">
        <v>263</v>
      </c>
      <c r="E65" s="140">
        <f>G4*9692.1</f>
        <v>9692.1</v>
      </c>
      <c r="F65" s="48"/>
      <c r="G65" s="141">
        <v>0</v>
      </c>
      <c r="H65" s="142" t="s">
        <v>70</v>
      </c>
    </row>
    <row r="66" spans="1:9" s="2" customFormat="1" ht="77.25" outlineLevel="1">
      <c r="A66" s="127" t="s">
        <v>267</v>
      </c>
      <c r="B66" s="138" t="s">
        <v>268</v>
      </c>
      <c r="C66" s="521"/>
      <c r="D66" s="139" t="s">
        <v>263</v>
      </c>
      <c r="E66" s="140">
        <f>G4*11743.55</f>
        <v>11743.55</v>
      </c>
      <c r="F66" s="48"/>
      <c r="G66" s="141">
        <v>0</v>
      </c>
      <c r="H66" s="142" t="s">
        <v>70</v>
      </c>
    </row>
    <row r="67" spans="1:9" s="2" customFormat="1" ht="77.25" outlineLevel="1">
      <c r="A67" s="127" t="s">
        <v>269</v>
      </c>
      <c r="B67" s="138" t="s">
        <v>270</v>
      </c>
      <c r="C67" s="521"/>
      <c r="D67" s="139" t="s">
        <v>263</v>
      </c>
      <c r="E67" s="140">
        <f>G4*16248.73</f>
        <v>16248.73</v>
      </c>
      <c r="F67" s="48"/>
      <c r="G67" s="141">
        <v>0</v>
      </c>
      <c r="H67" s="142" t="s">
        <v>70</v>
      </c>
    </row>
    <row r="68" spans="1:9" s="2" customFormat="1" ht="77.25" outlineLevel="1">
      <c r="A68" s="127" t="s">
        <v>271</v>
      </c>
      <c r="B68" s="138" t="s">
        <v>280</v>
      </c>
      <c r="C68" s="521"/>
      <c r="D68" s="139" t="s">
        <v>263</v>
      </c>
      <c r="E68" s="140">
        <f>G4*18381.17</f>
        <v>18381.169999999998</v>
      </c>
      <c r="F68" s="48"/>
      <c r="G68" s="141">
        <v>0</v>
      </c>
      <c r="H68" s="142" t="s">
        <v>70</v>
      </c>
    </row>
    <row r="69" spans="1:9" s="2" customFormat="1" ht="77.25" outlineLevel="1">
      <c r="A69" s="127" t="s">
        <v>273</v>
      </c>
      <c r="B69" s="138" t="s">
        <v>274</v>
      </c>
      <c r="C69" s="521"/>
      <c r="D69" s="139" t="s">
        <v>263</v>
      </c>
      <c r="E69" s="140">
        <f>G4*20834.9</f>
        <v>20834.900000000001</v>
      </c>
      <c r="F69" s="48"/>
      <c r="G69" s="141">
        <v>0</v>
      </c>
      <c r="H69" s="142" t="s">
        <v>70</v>
      </c>
    </row>
    <row r="70" spans="1:9" s="2" customFormat="1" ht="77.25" outlineLevel="1">
      <c r="A70" s="127" t="s">
        <v>275</v>
      </c>
      <c r="B70" s="138" t="s">
        <v>276</v>
      </c>
      <c r="C70" s="521"/>
      <c r="D70" s="139" t="s">
        <v>263</v>
      </c>
      <c r="E70" s="140">
        <f>G4*22874.78</f>
        <v>22874.78</v>
      </c>
      <c r="F70" s="48"/>
      <c r="G70" s="141">
        <v>0</v>
      </c>
      <c r="H70" s="142" t="s">
        <v>70</v>
      </c>
    </row>
    <row r="71" spans="1:9" s="2" customFormat="1" ht="15.75" outlineLevel="1">
      <c r="A71" s="133" t="s">
        <v>27</v>
      </c>
      <c r="B71" s="520" t="s">
        <v>1449</v>
      </c>
      <c r="C71" s="520"/>
      <c r="D71" s="145"/>
      <c r="E71" s="126"/>
      <c r="F71" s="143"/>
      <c r="G71" s="146"/>
      <c r="H71" s="142" t="s">
        <v>70</v>
      </c>
      <c r="I71" s="513"/>
    </row>
    <row r="72" spans="1:9" s="2" customFormat="1" ht="77.25" outlineLevel="1">
      <c r="A72" s="127" t="s">
        <v>120</v>
      </c>
      <c r="B72" s="138" t="s">
        <v>262</v>
      </c>
      <c r="C72" s="521" t="s">
        <v>695</v>
      </c>
      <c r="D72" s="139" t="s">
        <v>263</v>
      </c>
      <c r="E72" s="140">
        <f>G4*7422.6</f>
        <v>7422.6</v>
      </c>
      <c r="F72" s="48"/>
      <c r="G72" s="141">
        <v>0</v>
      </c>
      <c r="H72" s="142" t="s">
        <v>70</v>
      </c>
    </row>
    <row r="73" spans="1:9" s="2" customFormat="1" ht="77.25" outlineLevel="1">
      <c r="A73" s="127" t="s">
        <v>121</v>
      </c>
      <c r="B73" s="138" t="s">
        <v>264</v>
      </c>
      <c r="C73" s="521"/>
      <c r="D73" s="139" t="s">
        <v>263</v>
      </c>
      <c r="E73" s="140">
        <f>G4*12672.71</f>
        <v>12672.71</v>
      </c>
      <c r="F73" s="48"/>
      <c r="G73" s="141">
        <v>0</v>
      </c>
      <c r="H73" s="142" t="s">
        <v>70</v>
      </c>
    </row>
    <row r="74" spans="1:9" s="2" customFormat="1" ht="77.25" outlineLevel="1">
      <c r="A74" s="127" t="s">
        <v>122</v>
      </c>
      <c r="B74" s="138" t="s">
        <v>266</v>
      </c>
      <c r="C74" s="521"/>
      <c r="D74" s="139" t="s">
        <v>263</v>
      </c>
      <c r="E74" s="140">
        <f>G4*17922.82</f>
        <v>17922.82</v>
      </c>
      <c r="F74" s="48"/>
      <c r="G74" s="141">
        <v>0</v>
      </c>
      <c r="H74" s="142" t="s">
        <v>70</v>
      </c>
    </row>
    <row r="75" spans="1:9" s="2" customFormat="1" ht="77.25" outlineLevel="1">
      <c r="A75" s="127" t="s">
        <v>277</v>
      </c>
      <c r="B75" s="138" t="s">
        <v>268</v>
      </c>
      <c r="C75" s="521"/>
      <c r="D75" s="139" t="s">
        <v>263</v>
      </c>
      <c r="E75" s="140">
        <f>G4*23149.79</f>
        <v>23149.79</v>
      </c>
      <c r="F75" s="48"/>
      <c r="G75" s="141">
        <v>0</v>
      </c>
      <c r="H75" s="142" t="s">
        <v>70</v>
      </c>
    </row>
    <row r="76" spans="1:9" s="2" customFormat="1" ht="77.25" outlineLevel="1">
      <c r="A76" s="127" t="s">
        <v>278</v>
      </c>
      <c r="B76" s="138" t="s">
        <v>270</v>
      </c>
      <c r="C76" s="521"/>
      <c r="D76" s="139" t="s">
        <v>263</v>
      </c>
      <c r="E76" s="140">
        <f>G4*28354.51</f>
        <v>28354.51</v>
      </c>
      <c r="F76" s="48"/>
      <c r="G76" s="141">
        <v>0</v>
      </c>
      <c r="H76" s="142" t="s">
        <v>70</v>
      </c>
    </row>
    <row r="77" spans="1:9" s="2" customFormat="1" ht="77.25" outlineLevel="1">
      <c r="A77" s="127" t="s">
        <v>279</v>
      </c>
      <c r="B77" s="138" t="s">
        <v>280</v>
      </c>
      <c r="C77" s="521"/>
      <c r="D77" s="139" t="s">
        <v>263</v>
      </c>
      <c r="E77" s="140">
        <f>G4*33586.82</f>
        <v>33586.82</v>
      </c>
      <c r="F77" s="48"/>
      <c r="G77" s="141">
        <v>0</v>
      </c>
      <c r="H77" s="142" t="s">
        <v>70</v>
      </c>
    </row>
    <row r="78" spans="1:9" s="2" customFormat="1" ht="77.25" outlineLevel="1">
      <c r="A78" s="127" t="s">
        <v>281</v>
      </c>
      <c r="B78" s="138" t="s">
        <v>274</v>
      </c>
      <c r="C78" s="521"/>
      <c r="D78" s="139" t="s">
        <v>263</v>
      </c>
      <c r="E78" s="140">
        <f>G4*38831.59</f>
        <v>38831.589999999997</v>
      </c>
      <c r="F78" s="48"/>
      <c r="G78" s="141">
        <v>0</v>
      </c>
      <c r="H78" s="142" t="s">
        <v>70</v>
      </c>
    </row>
    <row r="79" spans="1:9" s="2" customFormat="1" ht="77.25" outlineLevel="1">
      <c r="A79" s="127" t="s">
        <v>282</v>
      </c>
      <c r="B79" s="138" t="s">
        <v>276</v>
      </c>
      <c r="C79" s="521"/>
      <c r="D79" s="139" t="s">
        <v>263</v>
      </c>
      <c r="E79" s="140">
        <f>G4*44058.56</f>
        <v>44058.559999999998</v>
      </c>
      <c r="F79" s="48"/>
      <c r="G79" s="141">
        <v>0</v>
      </c>
      <c r="H79" s="142" t="s">
        <v>70</v>
      </c>
    </row>
    <row r="80" spans="1:9" s="2" customFormat="1" ht="63.75" outlineLevel="1">
      <c r="A80" s="127" t="s">
        <v>770</v>
      </c>
      <c r="B80" s="129" t="s">
        <v>769</v>
      </c>
      <c r="C80" s="147" t="s">
        <v>1359</v>
      </c>
      <c r="D80" s="139" t="s">
        <v>283</v>
      </c>
      <c r="E80" s="140">
        <f>G4*447.82</f>
        <v>447.82</v>
      </c>
      <c r="F80" s="48"/>
      <c r="G80" s="141">
        <v>0</v>
      </c>
      <c r="H80" s="66" t="s">
        <v>771</v>
      </c>
    </row>
    <row r="81" spans="1:9" s="2" customFormat="1" ht="15.75" outlineLevel="1">
      <c r="A81" s="148"/>
      <c r="B81" s="149"/>
      <c r="C81" s="150"/>
      <c r="D81" s="151"/>
      <c r="E81" s="152"/>
      <c r="F81" s="153"/>
      <c r="G81" s="154"/>
      <c r="H81" s="155"/>
    </row>
    <row r="82" spans="1:9" s="2" customFormat="1" ht="15.75" outlineLevel="1">
      <c r="A82" s="156" t="s">
        <v>1381</v>
      </c>
      <c r="B82" s="157"/>
      <c r="C82" s="158"/>
      <c r="D82" s="159"/>
      <c r="E82" s="160"/>
      <c r="F82" s="161"/>
      <c r="G82" s="162"/>
      <c r="H82" s="163"/>
    </row>
    <row r="83" spans="1:9" s="2" customFormat="1" ht="15.75" outlineLevel="1">
      <c r="A83" s="164" t="s">
        <v>1388</v>
      </c>
      <c r="B83" s="157"/>
      <c r="C83" s="158"/>
      <c r="D83" s="159"/>
      <c r="E83" s="160"/>
      <c r="F83" s="161"/>
      <c r="G83" s="162"/>
      <c r="H83" s="163"/>
    </row>
    <row r="84" spans="1:9" s="2" customFormat="1" ht="15.75" outlineLevel="1">
      <c r="A84" s="164" t="s">
        <v>1389</v>
      </c>
      <c r="B84" s="157"/>
      <c r="C84" s="158"/>
      <c r="D84" s="159"/>
      <c r="E84" s="160"/>
      <c r="F84" s="161"/>
      <c r="G84" s="162"/>
      <c r="H84" s="163"/>
    </row>
    <row r="85" spans="1:9" s="2" customFormat="1" ht="15.75" outlineLevel="1">
      <c r="A85" s="164" t="s">
        <v>1390</v>
      </c>
      <c r="B85" s="157"/>
      <c r="C85" s="158"/>
      <c r="D85" s="159"/>
      <c r="E85" s="160"/>
      <c r="F85" s="161"/>
      <c r="G85" s="162"/>
      <c r="H85" s="163"/>
    </row>
    <row r="86" spans="1:9" s="2" customFormat="1" ht="15.75" outlineLevel="1">
      <c r="A86" s="164" t="s">
        <v>1391</v>
      </c>
      <c r="B86" s="157"/>
      <c r="C86" s="158"/>
      <c r="D86" s="159"/>
      <c r="E86" s="160"/>
      <c r="F86" s="161"/>
      <c r="G86" s="162"/>
      <c r="H86" s="163"/>
    </row>
    <row r="87" spans="1:9" s="2" customFormat="1" ht="15.75" outlineLevel="1">
      <c r="A87" s="165"/>
      <c r="B87" s="166"/>
      <c r="C87" s="167"/>
      <c r="D87" s="168"/>
      <c r="E87" s="169"/>
      <c r="F87" s="170"/>
      <c r="G87" s="171"/>
      <c r="H87" s="172"/>
    </row>
    <row r="88" spans="1:9" s="2" customFormat="1" ht="40.15" customHeight="1">
      <c r="A88" s="103">
        <v>4</v>
      </c>
      <c r="B88" s="173" t="s">
        <v>766</v>
      </c>
      <c r="C88" s="174"/>
      <c r="D88" s="175"/>
      <c r="E88" s="176"/>
      <c r="F88" s="177"/>
      <c r="G88" s="178"/>
      <c r="H88" s="179"/>
      <c r="I88" s="513"/>
    </row>
    <row r="89" spans="1:9" s="2" customFormat="1" ht="40.15" customHeight="1" outlineLevel="1">
      <c r="A89" s="516" t="s">
        <v>617</v>
      </c>
      <c r="B89" s="516"/>
      <c r="C89" s="517"/>
      <c r="D89" s="180"/>
      <c r="E89" s="75"/>
      <c r="F89" s="181"/>
      <c r="G89" s="77"/>
      <c r="H89" s="182"/>
    </row>
    <row r="90" spans="1:9" s="2" customFormat="1" ht="38.25" outlineLevel="1">
      <c r="A90" s="183" t="s">
        <v>286</v>
      </c>
      <c r="B90" s="184" t="s">
        <v>1453</v>
      </c>
      <c r="C90" s="147" t="s">
        <v>960</v>
      </c>
      <c r="D90" s="185" t="s">
        <v>134</v>
      </c>
      <c r="E90" s="515">
        <f>G4*2145.26</f>
        <v>2145.2600000000002</v>
      </c>
      <c r="F90" s="48"/>
      <c r="G90" s="187">
        <f>G4*2145.26</f>
        <v>2145.2600000000002</v>
      </c>
      <c r="H90" s="188"/>
    </row>
    <row r="91" spans="1:9" s="2" customFormat="1" ht="63.75" outlineLevel="1">
      <c r="A91" s="183" t="s">
        <v>287</v>
      </c>
      <c r="B91" s="189" t="s">
        <v>653</v>
      </c>
      <c r="C91" s="189" t="s">
        <v>654</v>
      </c>
      <c r="D91" s="139" t="s">
        <v>284</v>
      </c>
      <c r="E91" s="514">
        <f>G4*53045.95</f>
        <v>53045.95</v>
      </c>
      <c r="F91" s="48"/>
      <c r="G91" s="141">
        <f>G4*53045.95</f>
        <v>53045.95</v>
      </c>
      <c r="H91" s="66" t="s">
        <v>865</v>
      </c>
    </row>
    <row r="92" spans="1:9" s="2" customFormat="1" ht="102" outlineLevel="1">
      <c r="A92" s="183" t="s">
        <v>288</v>
      </c>
      <c r="B92" s="189" t="s">
        <v>1016</v>
      </c>
      <c r="C92" s="189" t="s">
        <v>897</v>
      </c>
      <c r="D92" s="139" t="s">
        <v>651</v>
      </c>
      <c r="E92" s="141" t="s">
        <v>1820</v>
      </c>
      <c r="F92" s="48"/>
      <c r="G92" s="141" t="s">
        <v>1820</v>
      </c>
      <c r="H92" s="66" t="s">
        <v>816</v>
      </c>
    </row>
    <row r="93" spans="1:9" s="2" customFormat="1" ht="102" outlineLevel="1">
      <c r="A93" s="183" t="s">
        <v>289</v>
      </c>
      <c r="B93" s="189" t="s">
        <v>541</v>
      </c>
      <c r="C93" s="189" t="s">
        <v>1035</v>
      </c>
      <c r="D93" s="139" t="s">
        <v>285</v>
      </c>
      <c r="E93" s="141" t="s">
        <v>1820</v>
      </c>
      <c r="F93" s="48"/>
      <c r="G93" s="141" t="s">
        <v>1820</v>
      </c>
      <c r="H93" s="66" t="s">
        <v>865</v>
      </c>
      <c r="I93" s="513"/>
    </row>
    <row r="94" spans="1:9" s="2" customFormat="1" ht="76.5" outlineLevel="1">
      <c r="A94" s="183" t="s">
        <v>788</v>
      </c>
      <c r="B94" s="189" t="s">
        <v>835</v>
      </c>
      <c r="C94" s="189" t="s">
        <v>834</v>
      </c>
      <c r="D94" s="139" t="s">
        <v>42</v>
      </c>
      <c r="E94" s="186">
        <f>G4*747.6</f>
        <v>747.6</v>
      </c>
      <c r="F94" s="48"/>
      <c r="G94" s="187">
        <v>0</v>
      </c>
      <c r="H94" s="66" t="s">
        <v>833</v>
      </c>
    </row>
    <row r="95" spans="1:9" s="2" customFormat="1" ht="76.5" outlineLevel="1">
      <c r="A95" s="183" t="s">
        <v>789</v>
      </c>
      <c r="B95" s="189" t="s">
        <v>836</v>
      </c>
      <c r="C95" s="189" t="s">
        <v>837</v>
      </c>
      <c r="D95" s="139" t="s">
        <v>42</v>
      </c>
      <c r="E95" s="186">
        <f>G4*1495.2</f>
        <v>1495.2</v>
      </c>
      <c r="F95" s="48"/>
      <c r="G95" s="187">
        <v>0</v>
      </c>
      <c r="H95" s="66" t="s">
        <v>833</v>
      </c>
    </row>
    <row r="96" spans="1:9" s="2" customFormat="1" ht="76.5" outlineLevel="1">
      <c r="A96" s="183" t="s">
        <v>820</v>
      </c>
      <c r="B96" s="189" t="s">
        <v>838</v>
      </c>
      <c r="C96" s="189" t="s">
        <v>839</v>
      </c>
      <c r="D96" s="139" t="s">
        <v>42</v>
      </c>
      <c r="E96" s="186">
        <f>G4*3132.8</f>
        <v>3132.8</v>
      </c>
      <c r="F96" s="48"/>
      <c r="G96" s="187">
        <v>0</v>
      </c>
      <c r="H96" s="66" t="s">
        <v>833</v>
      </c>
    </row>
    <row r="97" spans="1:9" s="2" customFormat="1" ht="76.5" outlineLevel="1">
      <c r="A97" s="183" t="s">
        <v>821</v>
      </c>
      <c r="B97" s="189" t="s">
        <v>840</v>
      </c>
      <c r="C97" s="189" t="s">
        <v>841</v>
      </c>
      <c r="D97" s="139" t="s">
        <v>42</v>
      </c>
      <c r="E97" s="186">
        <f>G4*4770.4</f>
        <v>4770.3999999999996</v>
      </c>
      <c r="F97" s="48"/>
      <c r="G97" s="187">
        <v>0</v>
      </c>
      <c r="H97" s="66" t="s">
        <v>833</v>
      </c>
    </row>
    <row r="98" spans="1:9" s="2" customFormat="1" ht="38.25" outlineLevel="1">
      <c r="A98" s="183" t="s">
        <v>964</v>
      </c>
      <c r="B98" s="147" t="s">
        <v>961</v>
      </c>
      <c r="C98" s="147" t="s">
        <v>963</v>
      </c>
      <c r="D98" s="185" t="s">
        <v>962</v>
      </c>
      <c r="E98" s="186">
        <f>G4*58263.85</f>
        <v>58263.85</v>
      </c>
      <c r="F98" s="48"/>
      <c r="G98" s="187">
        <f>G4*58263.85</f>
        <v>58263.85</v>
      </c>
      <c r="H98" s="80" t="s">
        <v>1031</v>
      </c>
    </row>
    <row r="99" spans="1:9" s="2" customFormat="1" ht="89.25" outlineLevel="1">
      <c r="A99" s="183" t="s">
        <v>1814</v>
      </c>
      <c r="B99" s="147" t="s">
        <v>1815</v>
      </c>
      <c r="C99" s="147" t="s">
        <v>1816</v>
      </c>
      <c r="D99" s="185" t="s">
        <v>134</v>
      </c>
      <c r="E99" s="187" t="s">
        <v>1820</v>
      </c>
      <c r="F99" s="48"/>
      <c r="G99" s="187" t="s">
        <v>1820</v>
      </c>
      <c r="H99" s="80"/>
    </row>
    <row r="100" spans="1:9" s="2" customFormat="1" ht="123" customHeight="1" outlineLevel="1">
      <c r="A100" s="183" t="s">
        <v>1817</v>
      </c>
      <c r="B100" s="147" t="s">
        <v>1818</v>
      </c>
      <c r="C100" s="147" t="s">
        <v>1819</v>
      </c>
      <c r="D100" s="185" t="s">
        <v>134</v>
      </c>
      <c r="E100" s="187" t="s">
        <v>1820</v>
      </c>
      <c r="F100" s="48"/>
      <c r="G100" s="187" t="s">
        <v>1820</v>
      </c>
      <c r="H100" s="80"/>
    </row>
    <row r="101" spans="1:9" s="2" customFormat="1" ht="216.75" outlineLevel="1">
      <c r="A101" s="133" t="s">
        <v>17</v>
      </c>
      <c r="B101" s="191" t="s">
        <v>1454</v>
      </c>
      <c r="C101" s="191" t="s">
        <v>1773</v>
      </c>
      <c r="D101" s="192"/>
      <c r="E101" s="193"/>
      <c r="F101" s="194"/>
      <c r="G101" s="195"/>
      <c r="H101" s="196" t="s">
        <v>1770</v>
      </c>
      <c r="I101" s="513"/>
    </row>
    <row r="102" spans="1:9" s="2" customFormat="1" ht="24" outlineLevel="1">
      <c r="A102" s="127" t="s">
        <v>290</v>
      </c>
      <c r="B102" s="197" t="s">
        <v>95</v>
      </c>
      <c r="C102" s="147"/>
      <c r="D102" s="198" t="s">
        <v>721</v>
      </c>
      <c r="E102" s="199">
        <f>G4*(180178.07-F102)+F102</f>
        <v>180178.07</v>
      </c>
      <c r="F102" s="65">
        <v>55531.25</v>
      </c>
      <c r="G102" s="200">
        <f>G4*21751.26</f>
        <v>21751.26</v>
      </c>
      <c r="H102" s="201" t="s">
        <v>70</v>
      </c>
    </row>
    <row r="103" spans="1:9" s="2" customFormat="1" ht="25.5" outlineLevel="1">
      <c r="A103" s="127" t="s">
        <v>291</v>
      </c>
      <c r="B103" s="197" t="s">
        <v>99</v>
      </c>
      <c r="C103" s="147"/>
      <c r="D103" s="198" t="s">
        <v>721</v>
      </c>
      <c r="E103" s="199">
        <f>G4*(187837.05-F103)+F103</f>
        <v>187837.05</v>
      </c>
      <c r="F103" s="65">
        <v>62685.15</v>
      </c>
      <c r="G103" s="200">
        <f>G4*21751.26</f>
        <v>21751.26</v>
      </c>
      <c r="H103" s="201" t="s">
        <v>70</v>
      </c>
    </row>
    <row r="104" spans="1:9" s="2" customFormat="1" ht="25.5" outlineLevel="1">
      <c r="A104" s="127" t="s">
        <v>292</v>
      </c>
      <c r="B104" s="197" t="s">
        <v>1417</v>
      </c>
      <c r="C104" s="147"/>
      <c r="D104" s="198" t="s">
        <v>721</v>
      </c>
      <c r="E104" s="199">
        <f>G4*(193975.18-F104)+F104</f>
        <v>193975.18</v>
      </c>
      <c r="F104" s="65">
        <v>68398.39</v>
      </c>
      <c r="G104" s="200">
        <f>G4*21751.26</f>
        <v>21751.26</v>
      </c>
      <c r="H104" s="201" t="s">
        <v>70</v>
      </c>
    </row>
    <row r="105" spans="1:9" s="2" customFormat="1" ht="25.5" outlineLevel="1">
      <c r="A105" s="127" t="s">
        <v>293</v>
      </c>
      <c r="B105" s="197" t="s">
        <v>1418</v>
      </c>
      <c r="C105" s="147"/>
      <c r="D105" s="198" t="s">
        <v>721</v>
      </c>
      <c r="E105" s="199">
        <f>G4*(203804.93-F105)+F105</f>
        <v>203804.93</v>
      </c>
      <c r="F105" s="65">
        <v>77653.37</v>
      </c>
      <c r="G105" s="200">
        <f>G4*21751.26</f>
        <v>21751.26</v>
      </c>
      <c r="H105" s="201" t="s">
        <v>70</v>
      </c>
    </row>
    <row r="106" spans="1:9" s="2" customFormat="1" ht="25.5" outlineLevel="1">
      <c r="A106" s="127" t="s">
        <v>294</v>
      </c>
      <c r="B106" s="197" t="s">
        <v>100</v>
      </c>
      <c r="C106" s="147"/>
      <c r="D106" s="198" t="s">
        <v>721</v>
      </c>
      <c r="E106" s="199">
        <f>G4*(217995.25-F106)+F106</f>
        <v>217995.25</v>
      </c>
      <c r="F106" s="65">
        <v>90724.31</v>
      </c>
      <c r="G106" s="200">
        <f>G4*21751.26</f>
        <v>21751.26</v>
      </c>
      <c r="H106" s="201" t="s">
        <v>70</v>
      </c>
    </row>
    <row r="107" spans="1:9" s="2" customFormat="1" ht="25.5" outlineLevel="1">
      <c r="A107" s="127" t="s">
        <v>295</v>
      </c>
      <c r="B107" s="197" t="s">
        <v>1419</v>
      </c>
      <c r="C107" s="147"/>
      <c r="D107" s="198" t="s">
        <v>721</v>
      </c>
      <c r="E107" s="199">
        <f>G4*(273119.98-F107)+F107</f>
        <v>273119.98</v>
      </c>
      <c r="F107" s="65">
        <v>135199.31</v>
      </c>
      <c r="G107" s="200">
        <f>G4*21751.26</f>
        <v>21751.26</v>
      </c>
      <c r="H107" s="201" t="s">
        <v>70</v>
      </c>
    </row>
    <row r="108" spans="1:9" s="2" customFormat="1" ht="25.5" outlineLevel="1">
      <c r="A108" s="127" t="s">
        <v>296</v>
      </c>
      <c r="B108" s="202" t="s">
        <v>898</v>
      </c>
      <c r="C108" s="147"/>
      <c r="D108" s="198" t="s">
        <v>721</v>
      </c>
      <c r="E108" s="199">
        <f>G4*(321744.36-F108)+F108</f>
        <v>321744.36</v>
      </c>
      <c r="F108" s="65">
        <v>175860.16</v>
      </c>
      <c r="G108" s="200">
        <f>G4*21751.26</f>
        <v>21751.26</v>
      </c>
      <c r="H108" s="201" t="s">
        <v>70</v>
      </c>
    </row>
    <row r="109" spans="1:9" s="2" customFormat="1" ht="229.5" outlineLevel="1">
      <c r="A109" s="133" t="s">
        <v>18</v>
      </c>
      <c r="B109" s="191" t="s">
        <v>1455</v>
      </c>
      <c r="C109" s="191" t="s">
        <v>1774</v>
      </c>
      <c r="D109" s="192"/>
      <c r="E109" s="146"/>
      <c r="F109" s="203"/>
      <c r="G109" s="146"/>
      <c r="H109" s="196" t="s">
        <v>1775</v>
      </c>
      <c r="I109" s="513"/>
    </row>
    <row r="110" spans="1:9" s="2" customFormat="1" ht="24" outlineLevel="1">
      <c r="A110" s="127" t="s">
        <v>297</v>
      </c>
      <c r="B110" s="197" t="s">
        <v>95</v>
      </c>
      <c r="C110" s="204"/>
      <c r="D110" s="198" t="s">
        <v>721</v>
      </c>
      <c r="E110" s="199">
        <f>G4*(402900.98-F110)+F110</f>
        <v>402900.98</v>
      </c>
      <c r="F110" s="65">
        <v>101742.88</v>
      </c>
      <c r="G110" s="200">
        <f>G4*76709.72</f>
        <v>76709.72</v>
      </c>
      <c r="H110" s="201" t="s">
        <v>70</v>
      </c>
    </row>
    <row r="111" spans="1:9" s="2" customFormat="1" ht="25.5" outlineLevel="1">
      <c r="A111" s="127" t="s">
        <v>298</v>
      </c>
      <c r="B111" s="197" t="s">
        <v>99</v>
      </c>
      <c r="C111" s="204"/>
      <c r="D111" s="198" t="s">
        <v>721</v>
      </c>
      <c r="E111" s="199">
        <f>G4*(422378.48-F111)+F111</f>
        <v>422378.48</v>
      </c>
      <c r="F111" s="65">
        <v>120421.27</v>
      </c>
      <c r="G111" s="200">
        <f>G4*76709.72</f>
        <v>76709.72</v>
      </c>
      <c r="H111" s="201" t="s">
        <v>70</v>
      </c>
    </row>
    <row r="112" spans="1:9" s="2" customFormat="1" ht="25.5" outlineLevel="1">
      <c r="A112" s="127" t="s">
        <v>299</v>
      </c>
      <c r="B112" s="197" t="s">
        <v>1417</v>
      </c>
      <c r="C112" s="204"/>
      <c r="D112" s="198" t="s">
        <v>721</v>
      </c>
      <c r="E112" s="199">
        <f>G4*(431824.96-F112)+F112</f>
        <v>431824.96</v>
      </c>
      <c r="F112" s="65">
        <v>128609.49</v>
      </c>
      <c r="G112" s="200">
        <f>G4*76709.72</f>
        <v>76709.72</v>
      </c>
      <c r="H112" s="201" t="s">
        <v>70</v>
      </c>
    </row>
    <row r="113" spans="1:9" s="2" customFormat="1" ht="25.5" outlineLevel="1">
      <c r="A113" s="127" t="s">
        <v>300</v>
      </c>
      <c r="B113" s="197" t="s">
        <v>1418</v>
      </c>
      <c r="C113" s="204"/>
      <c r="D113" s="198" t="s">
        <v>721</v>
      </c>
      <c r="E113" s="199">
        <f>G4*(442620.39-F113)+F113</f>
        <v>442620.39</v>
      </c>
      <c r="F113" s="65">
        <v>138579.41</v>
      </c>
      <c r="G113" s="200">
        <f>G4*76709.72</f>
        <v>76709.72</v>
      </c>
      <c r="H113" s="201" t="s">
        <v>70</v>
      </c>
    </row>
    <row r="114" spans="1:9" s="2" customFormat="1" ht="25.5" outlineLevel="1">
      <c r="A114" s="127" t="s">
        <v>301</v>
      </c>
      <c r="B114" s="197" t="s">
        <v>100</v>
      </c>
      <c r="C114" s="204"/>
      <c r="D114" s="198" t="s">
        <v>721</v>
      </c>
      <c r="E114" s="199">
        <f>G4*(463505.68-F114)+F114</f>
        <v>463505.68000000005</v>
      </c>
      <c r="F114" s="65">
        <v>157678.79</v>
      </c>
      <c r="G114" s="200">
        <f>G4*76709.72</f>
        <v>76709.72</v>
      </c>
      <c r="H114" s="201" t="s">
        <v>70</v>
      </c>
    </row>
    <row r="115" spans="1:9" s="2" customFormat="1" ht="25.5" outlineLevel="1">
      <c r="A115" s="127" t="s">
        <v>302</v>
      </c>
      <c r="B115" s="197" t="s">
        <v>1419</v>
      </c>
      <c r="C115" s="205"/>
      <c r="D115" s="198" t="s">
        <v>721</v>
      </c>
      <c r="E115" s="199">
        <f>G4*(529823.91-F115)+F115</f>
        <v>529823.91</v>
      </c>
      <c r="F115" s="65">
        <v>192833.27</v>
      </c>
      <c r="G115" s="200">
        <f>G4*76709.72</f>
        <v>76709.72</v>
      </c>
      <c r="H115" s="201" t="s">
        <v>70</v>
      </c>
    </row>
    <row r="116" spans="1:9" s="2" customFormat="1" ht="25.5" outlineLevel="1">
      <c r="A116" s="127" t="s">
        <v>303</v>
      </c>
      <c r="B116" s="202" t="s">
        <v>898</v>
      </c>
      <c r="C116" s="205"/>
      <c r="D116" s="198" t="s">
        <v>721</v>
      </c>
      <c r="E116" s="199">
        <f>G4*(583045.37-F116)+F116</f>
        <v>583045.37</v>
      </c>
      <c r="F116" s="65">
        <v>237049.67</v>
      </c>
      <c r="G116" s="200">
        <f>G4*76709.72</f>
        <v>76709.72</v>
      </c>
      <c r="H116" s="201" t="s">
        <v>70</v>
      </c>
    </row>
    <row r="117" spans="1:9" s="2" customFormat="1" ht="153" outlineLevel="1">
      <c r="A117" s="133" t="s">
        <v>24</v>
      </c>
      <c r="B117" s="191" t="s">
        <v>1456</v>
      </c>
      <c r="C117" s="191" t="s">
        <v>1776</v>
      </c>
      <c r="D117" s="192"/>
      <c r="E117" s="146"/>
      <c r="F117" s="203"/>
      <c r="G117" s="146"/>
      <c r="H117" s="196" t="s">
        <v>1777</v>
      </c>
      <c r="I117" s="513"/>
    </row>
    <row r="118" spans="1:9" s="2" customFormat="1" ht="24" outlineLevel="1">
      <c r="A118" s="127" t="s">
        <v>28</v>
      </c>
      <c r="B118" s="197" t="s">
        <v>95</v>
      </c>
      <c r="C118" s="147"/>
      <c r="D118" s="198" t="s">
        <v>721</v>
      </c>
      <c r="E118" s="199">
        <f>G4*(200813.3-F118)+F118</f>
        <v>200813.3</v>
      </c>
      <c r="F118" s="65">
        <v>73948.91</v>
      </c>
      <c r="G118" s="200">
        <f>G4*33704.17</f>
        <v>33704.17</v>
      </c>
      <c r="H118" s="204" t="s">
        <v>70</v>
      </c>
    </row>
    <row r="119" spans="1:9" s="2" customFormat="1" ht="25.5" outlineLevel="1">
      <c r="A119" s="127" t="s">
        <v>29</v>
      </c>
      <c r="B119" s="197" t="s">
        <v>99</v>
      </c>
      <c r="C119" s="206"/>
      <c r="D119" s="198" t="s">
        <v>721</v>
      </c>
      <c r="E119" s="199">
        <f>G4*(209296.96-F119)+F119</f>
        <v>209296.96</v>
      </c>
      <c r="F119" s="65">
        <v>80128.02</v>
      </c>
      <c r="G119" s="200">
        <f>G4*33704.17</f>
        <v>33704.17</v>
      </c>
      <c r="H119" s="204" t="s">
        <v>70</v>
      </c>
    </row>
    <row r="120" spans="1:9" s="2" customFormat="1" ht="25.5" outlineLevel="1">
      <c r="A120" s="127" t="s">
        <v>396</v>
      </c>
      <c r="B120" s="197" t="s">
        <v>1417</v>
      </c>
      <c r="C120" s="201"/>
      <c r="D120" s="198" t="s">
        <v>721</v>
      </c>
      <c r="E120" s="199">
        <f>G4*(217898.53-F120)+F120</f>
        <v>217898.53</v>
      </c>
      <c r="F120" s="65">
        <v>86519.18</v>
      </c>
      <c r="G120" s="200">
        <f>G4*33704.17</f>
        <v>33704.17</v>
      </c>
      <c r="H120" s="204" t="s">
        <v>70</v>
      </c>
    </row>
    <row r="121" spans="1:9" s="2" customFormat="1" ht="25.5" outlineLevel="1">
      <c r="A121" s="127" t="s">
        <v>397</v>
      </c>
      <c r="B121" s="197" t="s">
        <v>1418</v>
      </c>
      <c r="C121" s="206"/>
      <c r="D121" s="198" t="s">
        <v>721</v>
      </c>
      <c r="E121" s="199">
        <f>G4*(226009.1-F121)+F121</f>
        <v>226009.09999999998</v>
      </c>
      <c r="F121" s="65">
        <v>92554.23</v>
      </c>
      <c r="G121" s="200">
        <f>G4*33704.17</f>
        <v>33704.17</v>
      </c>
      <c r="H121" s="204" t="s">
        <v>70</v>
      </c>
    </row>
    <row r="122" spans="1:9" s="2" customFormat="1" ht="25.5" outlineLevel="1">
      <c r="A122" s="127" t="s">
        <v>395</v>
      </c>
      <c r="B122" s="197" t="s">
        <v>100</v>
      </c>
      <c r="C122" s="207"/>
      <c r="D122" s="198" t="s">
        <v>721</v>
      </c>
      <c r="E122" s="199">
        <f>G4*(241392.38-F122)+F122</f>
        <v>241392.38</v>
      </c>
      <c r="F122" s="65">
        <v>103003.58</v>
      </c>
      <c r="G122" s="200">
        <f>G4*33704.17</f>
        <v>33704.17</v>
      </c>
      <c r="H122" s="204" t="s">
        <v>70</v>
      </c>
    </row>
    <row r="123" spans="1:9" s="2" customFormat="1" ht="25.5" outlineLevel="1">
      <c r="A123" s="127" t="s">
        <v>398</v>
      </c>
      <c r="B123" s="197" t="s">
        <v>1419</v>
      </c>
      <c r="C123" s="207"/>
      <c r="D123" s="198" t="s">
        <v>721</v>
      </c>
      <c r="E123" s="199">
        <f>G4*(288315.96-F123)+F123</f>
        <v>288315.96000000002</v>
      </c>
      <c r="F123" s="65">
        <v>142105.04999999999</v>
      </c>
      <c r="G123" s="200">
        <f>G4*33704.17</f>
        <v>33704.17</v>
      </c>
      <c r="H123" s="204" t="s">
        <v>70</v>
      </c>
    </row>
    <row r="124" spans="1:9" s="2" customFormat="1" ht="24" outlineLevel="1">
      <c r="A124" s="127" t="s">
        <v>399</v>
      </c>
      <c r="B124" s="197" t="s">
        <v>125</v>
      </c>
      <c r="C124" s="207"/>
      <c r="D124" s="198" t="s">
        <v>721</v>
      </c>
      <c r="E124" s="199">
        <f>G4*(337793.37-F124)+F124</f>
        <v>337793.37</v>
      </c>
      <c r="F124" s="65">
        <v>181155.6</v>
      </c>
      <c r="G124" s="200">
        <f>G4*33704.17</f>
        <v>33704.17</v>
      </c>
      <c r="H124" s="204" t="s">
        <v>70</v>
      </c>
    </row>
    <row r="125" spans="1:9" s="2" customFormat="1" ht="38.25" outlineLevel="1">
      <c r="A125" s="133" t="s">
        <v>30</v>
      </c>
      <c r="B125" s="191" t="s">
        <v>108</v>
      </c>
      <c r="C125" s="191" t="s">
        <v>50</v>
      </c>
      <c r="D125" s="192"/>
      <c r="E125" s="146"/>
      <c r="F125" s="203"/>
      <c r="G125" s="146"/>
      <c r="H125" s="509" t="s">
        <v>1778</v>
      </c>
      <c r="I125" s="513"/>
    </row>
    <row r="126" spans="1:9" s="2" customFormat="1" ht="38.25" outlineLevel="1">
      <c r="A126" s="127" t="s">
        <v>423</v>
      </c>
      <c r="B126" s="208" t="s">
        <v>109</v>
      </c>
      <c r="C126" s="147"/>
      <c r="D126" s="185" t="s">
        <v>51</v>
      </c>
      <c r="E126" s="186">
        <f>G4*2112.37</f>
        <v>2112.37</v>
      </c>
      <c r="F126" s="48"/>
      <c r="G126" s="187">
        <f>G4*756.61</f>
        <v>756.61</v>
      </c>
      <c r="H126" s="209" t="s">
        <v>422</v>
      </c>
    </row>
    <row r="127" spans="1:9" s="2" customFormat="1" ht="38.25" outlineLevel="1">
      <c r="A127" s="127" t="s">
        <v>424</v>
      </c>
      <c r="B127" s="208" t="s">
        <v>110</v>
      </c>
      <c r="C127" s="147"/>
      <c r="D127" s="185" t="s">
        <v>51</v>
      </c>
      <c r="E127" s="186">
        <f>G4*2287.19</f>
        <v>2287.19</v>
      </c>
      <c r="F127" s="48"/>
      <c r="G127" s="187">
        <f>G4*756.61</f>
        <v>756.61</v>
      </c>
      <c r="H127" s="209" t="s">
        <v>422</v>
      </c>
    </row>
    <row r="128" spans="1:9" s="2" customFormat="1" ht="38.25" outlineLevel="1">
      <c r="A128" s="127" t="s">
        <v>425</v>
      </c>
      <c r="B128" s="208" t="s">
        <v>113</v>
      </c>
      <c r="C128" s="147"/>
      <c r="D128" s="185" t="s">
        <v>51</v>
      </c>
      <c r="E128" s="186">
        <f>G4*5158.97</f>
        <v>5158.97</v>
      </c>
      <c r="F128" s="48"/>
      <c r="G128" s="187">
        <f>G4*756.61</f>
        <v>756.61</v>
      </c>
      <c r="H128" s="209" t="s">
        <v>422</v>
      </c>
    </row>
    <row r="129" spans="1:9" s="2" customFormat="1" ht="38.25" outlineLevel="1">
      <c r="A129" s="127" t="s">
        <v>426</v>
      </c>
      <c r="B129" s="208" t="s">
        <v>114</v>
      </c>
      <c r="C129" s="147"/>
      <c r="D129" s="185" t="s">
        <v>51</v>
      </c>
      <c r="E129" s="186">
        <f>G4*6878.24</f>
        <v>6878.24</v>
      </c>
      <c r="F129" s="48"/>
      <c r="G129" s="187">
        <f>G4*756.61</f>
        <v>756.61</v>
      </c>
      <c r="H129" s="209" t="s">
        <v>422</v>
      </c>
    </row>
    <row r="130" spans="1:9" s="2" customFormat="1" ht="38.25" outlineLevel="1">
      <c r="A130" s="127" t="s">
        <v>427</v>
      </c>
      <c r="B130" s="208" t="s">
        <v>111</v>
      </c>
      <c r="C130" s="147"/>
      <c r="D130" s="185" t="s">
        <v>51</v>
      </c>
      <c r="E130" s="186">
        <f>G4*10043.7</f>
        <v>10043.700000000001</v>
      </c>
      <c r="F130" s="48"/>
      <c r="G130" s="187">
        <f>G4*756.61</f>
        <v>756.61</v>
      </c>
      <c r="H130" s="209" t="s">
        <v>422</v>
      </c>
    </row>
    <row r="131" spans="1:9" s="2" customFormat="1" ht="38.25" outlineLevel="1">
      <c r="A131" s="127" t="s">
        <v>428</v>
      </c>
      <c r="B131" s="208" t="s">
        <v>112</v>
      </c>
      <c r="C131" s="147"/>
      <c r="D131" s="185" t="s">
        <v>51</v>
      </c>
      <c r="E131" s="186">
        <f>G4*19156.66</f>
        <v>19156.66</v>
      </c>
      <c r="F131" s="48"/>
      <c r="G131" s="187">
        <f>G4*756.61</f>
        <v>756.61</v>
      </c>
      <c r="H131" s="209" t="s">
        <v>422</v>
      </c>
    </row>
    <row r="132" spans="1:9" s="2" customFormat="1" ht="89.25" outlineLevel="1">
      <c r="A132" s="133" t="s">
        <v>31</v>
      </c>
      <c r="B132" s="191" t="s">
        <v>786</v>
      </c>
      <c r="C132" s="191" t="s">
        <v>780</v>
      </c>
      <c r="D132" s="192"/>
      <c r="E132" s="210"/>
      <c r="F132" s="116"/>
      <c r="G132" s="146"/>
      <c r="H132" s="211" t="s">
        <v>1779</v>
      </c>
      <c r="I132" s="513"/>
    </row>
    <row r="133" spans="1:9" s="2" customFormat="1" ht="15.75" outlineLevel="1">
      <c r="A133" s="127" t="s">
        <v>400</v>
      </c>
      <c r="B133" s="208" t="s">
        <v>781</v>
      </c>
      <c r="C133" s="147"/>
      <c r="D133" s="185" t="s">
        <v>518</v>
      </c>
      <c r="E133" s="186">
        <f>G4*5576.16</f>
        <v>5576.16</v>
      </c>
      <c r="F133" s="48"/>
      <c r="G133" s="187">
        <f>G4*459.58</f>
        <v>459.58</v>
      </c>
      <c r="H133" s="209" t="s">
        <v>70</v>
      </c>
    </row>
    <row r="134" spans="1:9" s="2" customFormat="1" ht="15.75" outlineLevel="1">
      <c r="A134" s="127" t="s">
        <v>401</v>
      </c>
      <c r="B134" s="208" t="s">
        <v>782</v>
      </c>
      <c r="C134" s="147"/>
      <c r="D134" s="185" t="s">
        <v>518</v>
      </c>
      <c r="E134" s="186">
        <f>G4*9003.44</f>
        <v>9003.44</v>
      </c>
      <c r="F134" s="48"/>
      <c r="G134" s="187">
        <f>G4*667.44</f>
        <v>667.44</v>
      </c>
      <c r="H134" s="209" t="s">
        <v>70</v>
      </c>
    </row>
    <row r="135" spans="1:9" s="2" customFormat="1" ht="15.75" outlineLevel="1">
      <c r="A135" s="127" t="s">
        <v>402</v>
      </c>
      <c r="B135" s="208" t="s">
        <v>787</v>
      </c>
      <c r="C135" s="147"/>
      <c r="D135" s="185" t="s">
        <v>518</v>
      </c>
      <c r="E135" s="186">
        <f>G4*16903.9</f>
        <v>16903.900000000001</v>
      </c>
      <c r="F135" s="48"/>
      <c r="G135" s="187">
        <f>G4*1104.78</f>
        <v>1104.78</v>
      </c>
      <c r="H135" s="209" t="s">
        <v>70</v>
      </c>
    </row>
    <row r="136" spans="1:9" s="2" customFormat="1" ht="15.75" outlineLevel="1">
      <c r="A136" s="127" t="s">
        <v>403</v>
      </c>
      <c r="B136" s="208" t="s">
        <v>783</v>
      </c>
      <c r="C136" s="147"/>
      <c r="D136" s="185" t="s">
        <v>518</v>
      </c>
      <c r="E136" s="186">
        <f>G4*24217.43</f>
        <v>24217.43</v>
      </c>
      <c r="F136" s="48"/>
      <c r="G136" s="187">
        <f>G4*1368.51</f>
        <v>1368.51</v>
      </c>
      <c r="H136" s="209" t="s">
        <v>70</v>
      </c>
    </row>
    <row r="137" spans="1:9" s="2" customFormat="1" ht="15.75" outlineLevel="1">
      <c r="A137" s="127" t="s">
        <v>404</v>
      </c>
      <c r="B137" s="208" t="s">
        <v>784</v>
      </c>
      <c r="C137" s="147"/>
      <c r="D137" s="185" t="s">
        <v>518</v>
      </c>
      <c r="E137" s="186">
        <f>G4*46322.63</f>
        <v>46322.63</v>
      </c>
      <c r="F137" s="48"/>
      <c r="G137" s="187">
        <f>G4*2205.95</f>
        <v>2205.9499999999998</v>
      </c>
      <c r="H137" s="209" t="s">
        <v>70</v>
      </c>
    </row>
    <row r="138" spans="1:9" s="2" customFormat="1" ht="191.25" outlineLevel="1">
      <c r="A138" s="212" t="s">
        <v>32</v>
      </c>
      <c r="B138" s="191" t="s">
        <v>1450</v>
      </c>
      <c r="C138" s="191" t="s">
        <v>1780</v>
      </c>
      <c r="D138" s="192"/>
      <c r="E138" s="146"/>
      <c r="F138" s="203"/>
      <c r="G138" s="146"/>
      <c r="H138" s="196" t="s">
        <v>1742</v>
      </c>
      <c r="I138" s="513"/>
    </row>
    <row r="139" spans="1:9" s="2" customFormat="1" ht="15.75" outlineLevel="1">
      <c r="A139" s="127" t="s">
        <v>405</v>
      </c>
      <c r="B139" s="197" t="s">
        <v>965</v>
      </c>
      <c r="C139" s="205"/>
      <c r="D139" s="198" t="s">
        <v>2</v>
      </c>
      <c r="E139" s="199">
        <f>G4*(119754.06-F139)+F139</f>
        <v>119754.06</v>
      </c>
      <c r="F139" s="65">
        <v>27057.599999999999</v>
      </c>
      <c r="G139" s="200">
        <f>G4*21751.26</f>
        <v>21751.26</v>
      </c>
      <c r="H139" s="204" t="s">
        <v>70</v>
      </c>
    </row>
    <row r="140" spans="1:9" s="2" customFormat="1" ht="15.75" outlineLevel="1">
      <c r="A140" s="127" t="s">
        <v>406</v>
      </c>
      <c r="B140" s="197" t="s">
        <v>966</v>
      </c>
      <c r="C140" s="205"/>
      <c r="D140" s="198" t="s">
        <v>2</v>
      </c>
      <c r="E140" s="199">
        <f>G4*(148662.3-F140)+F140</f>
        <v>148662.29999999999</v>
      </c>
      <c r="F140" s="65">
        <v>46452.67</v>
      </c>
      <c r="G140" s="200">
        <f>G4*21751.26</f>
        <v>21751.26</v>
      </c>
      <c r="H140" s="204" t="s">
        <v>70</v>
      </c>
    </row>
    <row r="141" spans="1:9" s="2" customFormat="1" ht="15.75" outlineLevel="1">
      <c r="A141" s="127" t="s">
        <v>407</v>
      </c>
      <c r="B141" s="197" t="s">
        <v>967</v>
      </c>
      <c r="C141" s="205"/>
      <c r="D141" s="198" t="s">
        <v>2</v>
      </c>
      <c r="E141" s="199">
        <f>G4*(178597.58-F141)+F141</f>
        <v>178597.58</v>
      </c>
      <c r="F141" s="65">
        <v>66874.81</v>
      </c>
      <c r="G141" s="200">
        <f>G4*21751.26</f>
        <v>21751.26</v>
      </c>
      <c r="H141" s="204" t="s">
        <v>70</v>
      </c>
    </row>
    <row r="142" spans="1:9" s="2" customFormat="1" ht="15.75" outlineLevel="1">
      <c r="A142" s="127" t="s">
        <v>408</v>
      </c>
      <c r="B142" s="197" t="s">
        <v>1392</v>
      </c>
      <c r="C142" s="204"/>
      <c r="D142" s="198" t="s">
        <v>2</v>
      </c>
      <c r="E142" s="199">
        <f>G4*(230180.64-F142)+F142</f>
        <v>230180.64</v>
      </c>
      <c r="F142" s="65">
        <v>99431.56</v>
      </c>
      <c r="G142" s="200">
        <f>G4*21751.26</f>
        <v>21751.26</v>
      </c>
      <c r="H142" s="204" t="s">
        <v>70</v>
      </c>
    </row>
    <row r="143" spans="1:9" s="2" customFormat="1" ht="15.75" outlineLevel="1">
      <c r="A143" s="127" t="s">
        <v>409</v>
      </c>
      <c r="B143" s="197" t="s">
        <v>1393</v>
      </c>
      <c r="C143" s="204"/>
      <c r="D143" s="198" t="s">
        <v>2</v>
      </c>
      <c r="E143" s="199">
        <f>G4*(343322.26-F143)+F143</f>
        <v>343322.26</v>
      </c>
      <c r="F143" s="65">
        <v>185034.65</v>
      </c>
      <c r="G143" s="200">
        <f>G4*21751.26</f>
        <v>21751.26</v>
      </c>
      <c r="H143" s="204" t="s">
        <v>70</v>
      </c>
    </row>
    <row r="144" spans="1:9" s="2" customFormat="1" ht="15.75" outlineLevel="1">
      <c r="A144" s="127" t="s">
        <v>410</v>
      </c>
      <c r="B144" s="197" t="s">
        <v>1394</v>
      </c>
      <c r="C144" s="204"/>
      <c r="D144" s="198" t="s">
        <v>2</v>
      </c>
      <c r="E144" s="199">
        <f>G4*(642680.78-F144)+F144</f>
        <v>642680.78</v>
      </c>
      <c r="F144" s="65">
        <v>360049.63</v>
      </c>
      <c r="G144" s="200">
        <f>G4*21751.26</f>
        <v>21751.26</v>
      </c>
      <c r="H144" s="204" t="s">
        <v>70</v>
      </c>
    </row>
    <row r="145" spans="1:9" s="2" customFormat="1" ht="15.75" outlineLevel="1">
      <c r="A145" s="127" t="s">
        <v>411</v>
      </c>
      <c r="B145" s="197" t="s">
        <v>968</v>
      </c>
      <c r="C145" s="204"/>
      <c r="D145" s="198" t="s">
        <v>2</v>
      </c>
      <c r="E145" s="199">
        <f>G4*(940976.4-F145)+F145</f>
        <v>940976.4</v>
      </c>
      <c r="F145" s="65">
        <v>532348.52</v>
      </c>
      <c r="G145" s="200">
        <f>G4*21751.26</f>
        <v>21751.26</v>
      </c>
      <c r="H145" s="204" t="s">
        <v>70</v>
      </c>
    </row>
    <row r="146" spans="1:9" s="2" customFormat="1" ht="15.75" outlineLevel="1">
      <c r="A146" s="127" t="s">
        <v>412</v>
      </c>
      <c r="B146" s="197" t="s">
        <v>1395</v>
      </c>
      <c r="C146" s="205"/>
      <c r="D146" s="198" t="s">
        <v>2</v>
      </c>
      <c r="E146" s="199">
        <f>G4*(1238442.61-F146)+F146</f>
        <v>1238442.6100000001</v>
      </c>
      <c r="F146" s="65">
        <v>757320.09</v>
      </c>
      <c r="G146" s="200">
        <f>G4*21751.26</f>
        <v>21751.26</v>
      </c>
      <c r="H146" s="204" t="s">
        <v>70</v>
      </c>
    </row>
    <row r="147" spans="1:9" s="2" customFormat="1" ht="15.75" outlineLevel="1">
      <c r="A147" s="127" t="s">
        <v>413</v>
      </c>
      <c r="B147" s="197" t="s">
        <v>969</v>
      </c>
      <c r="C147" s="205"/>
      <c r="D147" s="198" t="s">
        <v>2</v>
      </c>
      <c r="E147" s="199">
        <f>G4*(1686826.2-F147)+F147</f>
        <v>1686826.2</v>
      </c>
      <c r="F147" s="65">
        <v>1126996.82</v>
      </c>
      <c r="G147" s="200">
        <f>G4*21751.26</f>
        <v>21751.26</v>
      </c>
      <c r="H147" s="204" t="s">
        <v>70</v>
      </c>
    </row>
    <row r="148" spans="1:9" s="2" customFormat="1" ht="15.75" outlineLevel="1">
      <c r="A148" s="127" t="s">
        <v>973</v>
      </c>
      <c r="B148" s="213" t="s">
        <v>1396</v>
      </c>
      <c r="C148" s="205"/>
      <c r="D148" s="198" t="s">
        <v>2</v>
      </c>
      <c r="E148" s="199">
        <f>G4*(129065.44-F148)+F148</f>
        <v>129065.44</v>
      </c>
      <c r="F148" s="65">
        <v>36368.980000000003</v>
      </c>
      <c r="G148" s="200">
        <f>G4*21751.26</f>
        <v>21751.26</v>
      </c>
      <c r="H148" s="204" t="s">
        <v>70</v>
      </c>
    </row>
    <row r="149" spans="1:9" s="2" customFormat="1" ht="15.75" outlineLevel="1">
      <c r="A149" s="127" t="s">
        <v>974</v>
      </c>
      <c r="B149" s="213" t="s">
        <v>1397</v>
      </c>
      <c r="C149" s="205"/>
      <c r="D149" s="198" t="s">
        <v>2</v>
      </c>
      <c r="E149" s="199">
        <f>G4*(166355.83-F149)+F149</f>
        <v>166355.82999999999</v>
      </c>
      <c r="F149" s="65">
        <v>64146.2</v>
      </c>
      <c r="G149" s="200">
        <f>G4*21751.26</f>
        <v>21751.26</v>
      </c>
      <c r="H149" s="204" t="s">
        <v>70</v>
      </c>
    </row>
    <row r="150" spans="1:9" s="2" customFormat="1" ht="15.75" outlineLevel="1">
      <c r="A150" s="127" t="s">
        <v>975</v>
      </c>
      <c r="B150" s="213" t="s">
        <v>1398</v>
      </c>
      <c r="C150" s="205"/>
      <c r="D150" s="198" t="s">
        <v>2</v>
      </c>
      <c r="E150" s="199">
        <f>G4*(201909.9-F150)+F150</f>
        <v>201909.9</v>
      </c>
      <c r="F150" s="65">
        <v>90187.13</v>
      </c>
      <c r="G150" s="200">
        <f>G4*21751.26</f>
        <v>21751.26</v>
      </c>
      <c r="H150" s="204" t="s">
        <v>70</v>
      </c>
    </row>
    <row r="151" spans="1:9" s="2" customFormat="1" ht="15.75" outlineLevel="1">
      <c r="A151" s="127" t="s">
        <v>976</v>
      </c>
      <c r="B151" s="213" t="s">
        <v>1421</v>
      </c>
      <c r="C151" s="205"/>
      <c r="D151" s="198" t="s">
        <v>2</v>
      </c>
      <c r="E151" s="199">
        <f>G4*(277020.46-F151)+F151</f>
        <v>277020.46000000002</v>
      </c>
      <c r="F151" s="65">
        <v>146271.38</v>
      </c>
      <c r="G151" s="200">
        <f>G4*21751.26</f>
        <v>21751.26</v>
      </c>
      <c r="H151" s="204" t="s">
        <v>70</v>
      </c>
    </row>
    <row r="152" spans="1:9" s="2" customFormat="1" ht="15.75" outlineLevel="1">
      <c r="A152" s="127" t="s">
        <v>977</v>
      </c>
      <c r="B152" s="213" t="s">
        <v>1400</v>
      </c>
      <c r="C152" s="205"/>
      <c r="D152" s="198" t="s">
        <v>2</v>
      </c>
      <c r="E152" s="199">
        <f>G4*(435567.64-F152)+F152</f>
        <v>435567.64</v>
      </c>
      <c r="F152" s="65">
        <v>277280.03000000003</v>
      </c>
      <c r="G152" s="200">
        <f>G4*21751.26</f>
        <v>21751.26</v>
      </c>
      <c r="H152" s="204" t="s">
        <v>70</v>
      </c>
    </row>
    <row r="153" spans="1:9" s="2" customFormat="1" ht="15.75" outlineLevel="1">
      <c r="A153" s="127" t="s">
        <v>978</v>
      </c>
      <c r="B153" s="213" t="s">
        <v>1401</v>
      </c>
      <c r="C153" s="205"/>
      <c r="D153" s="198" t="s">
        <v>2</v>
      </c>
      <c r="E153" s="199">
        <f>G4*(844070.01-F153)+F153</f>
        <v>844070.01</v>
      </c>
      <c r="F153" s="65">
        <v>561438.86</v>
      </c>
      <c r="G153" s="200">
        <f>G4*21751.26</f>
        <v>21751.26</v>
      </c>
      <c r="H153" s="204" t="s">
        <v>70</v>
      </c>
    </row>
    <row r="154" spans="1:9" s="2" customFormat="1" ht="15.75" outlineLevel="1">
      <c r="A154" s="127" t="s">
        <v>979</v>
      </c>
      <c r="B154" s="213" t="s">
        <v>970</v>
      </c>
      <c r="C154" s="205"/>
      <c r="D154" s="198" t="s">
        <v>2</v>
      </c>
      <c r="E154" s="199">
        <f>G4*(1242044.84-F154)+F154</f>
        <v>1242044.8400000001</v>
      </c>
      <c r="F154" s="65">
        <v>833416.96</v>
      </c>
      <c r="G154" s="200">
        <f>G4*21751.26</f>
        <v>21751.26</v>
      </c>
      <c r="H154" s="204" t="s">
        <v>70</v>
      </c>
    </row>
    <row r="155" spans="1:9" s="2" customFormat="1" ht="15.75" outlineLevel="1">
      <c r="A155" s="127" t="s">
        <v>980</v>
      </c>
      <c r="B155" s="213" t="s">
        <v>1402</v>
      </c>
      <c r="C155" s="205"/>
      <c r="D155" s="198" t="s">
        <v>2</v>
      </c>
      <c r="E155" s="199">
        <f>G4*(1615754.4-F155)+F155</f>
        <v>1615754.4</v>
      </c>
      <c r="F155" s="65">
        <v>1134631.8799999999</v>
      </c>
      <c r="G155" s="200">
        <f>G4*21751.26</f>
        <v>21751.26</v>
      </c>
      <c r="H155" s="204" t="s">
        <v>70</v>
      </c>
    </row>
    <row r="156" spans="1:9" s="2" customFormat="1" ht="15.75" outlineLevel="1">
      <c r="A156" s="127" t="s">
        <v>981</v>
      </c>
      <c r="B156" s="213" t="s">
        <v>1403</v>
      </c>
      <c r="C156" s="205"/>
      <c r="D156" s="198" t="s">
        <v>2</v>
      </c>
      <c r="E156" s="199">
        <f>G4*(1973241.23-F156)+F156</f>
        <v>1973241.23</v>
      </c>
      <c r="F156" s="65">
        <v>1413411.85</v>
      </c>
      <c r="G156" s="200">
        <f>G4*21751.26</f>
        <v>21751.26</v>
      </c>
      <c r="H156" s="204" t="s">
        <v>70</v>
      </c>
    </row>
    <row r="157" spans="1:9" s="2" customFormat="1" ht="15.75" outlineLevel="1">
      <c r="A157" s="127" t="s">
        <v>982</v>
      </c>
      <c r="B157" s="213" t="s">
        <v>971</v>
      </c>
      <c r="C157" s="205"/>
      <c r="D157" s="198" t="s">
        <v>2</v>
      </c>
      <c r="E157" s="199">
        <f>G4*(2438936.72-F157)+F157</f>
        <v>2438936.7200000002</v>
      </c>
      <c r="F157" s="65">
        <v>1879107.34</v>
      </c>
      <c r="G157" s="200">
        <f>G4*21751.26</f>
        <v>21751.26</v>
      </c>
      <c r="H157" s="204" t="s">
        <v>70</v>
      </c>
    </row>
    <row r="158" spans="1:9" s="2" customFormat="1" ht="15.75" outlineLevel="1">
      <c r="A158" s="127" t="s">
        <v>983</v>
      </c>
      <c r="B158" s="213" t="s">
        <v>1420</v>
      </c>
      <c r="C158" s="205"/>
      <c r="D158" s="198" t="s">
        <v>2</v>
      </c>
      <c r="E158" s="199">
        <f>G4*(349649.24-F158)+F158</f>
        <v>349649.24</v>
      </c>
      <c r="F158" s="65">
        <v>256952.78</v>
      </c>
      <c r="G158" s="200">
        <f>G4*21751.26</f>
        <v>21751.26</v>
      </c>
      <c r="H158" s="204" t="s">
        <v>70</v>
      </c>
    </row>
    <row r="159" spans="1:9" s="2" customFormat="1" ht="15.75" outlineLevel="1">
      <c r="A159" s="127" t="s">
        <v>984</v>
      </c>
      <c r="B159" s="213" t="s">
        <v>972</v>
      </c>
      <c r="C159" s="205"/>
      <c r="D159" s="198" t="s">
        <v>2</v>
      </c>
      <c r="E159" s="199">
        <f>G4*(603923.46-F159)+F159</f>
        <v>603923.46</v>
      </c>
      <c r="F159" s="65">
        <v>501713.83</v>
      </c>
      <c r="G159" s="200">
        <f>G4*21751.26</f>
        <v>21751.26</v>
      </c>
      <c r="H159" s="204" t="s">
        <v>70</v>
      </c>
    </row>
    <row r="160" spans="1:9" s="2" customFormat="1" ht="204" outlineLevel="1">
      <c r="A160" s="214" t="s">
        <v>33</v>
      </c>
      <c r="B160" s="191" t="s">
        <v>1451</v>
      </c>
      <c r="C160" s="191" t="s">
        <v>1781</v>
      </c>
      <c r="D160" s="192"/>
      <c r="E160" s="210"/>
      <c r="F160" s="116"/>
      <c r="G160" s="146"/>
      <c r="H160" s="196" t="s">
        <v>1744</v>
      </c>
      <c r="I160" s="513"/>
    </row>
    <row r="161" spans="1:8" s="2" customFormat="1" ht="15.75" outlineLevel="1">
      <c r="A161" s="215" t="s">
        <v>34</v>
      </c>
      <c r="B161" s="197" t="s">
        <v>965</v>
      </c>
      <c r="C161" s="147"/>
      <c r="D161" s="198" t="s">
        <v>2</v>
      </c>
      <c r="E161" s="199">
        <f>G4*(297026.78-F161)+F161</f>
        <v>297026.78000000003</v>
      </c>
      <c r="F161" s="65">
        <v>53132.88</v>
      </c>
      <c r="G161" s="200">
        <f>G4*76709.72</f>
        <v>76709.72</v>
      </c>
      <c r="H161" s="201" t="s">
        <v>70</v>
      </c>
    </row>
    <row r="162" spans="1:8" s="2" customFormat="1" ht="15.75" outlineLevel="1">
      <c r="A162" s="215" t="s">
        <v>35</v>
      </c>
      <c r="B162" s="197" t="s">
        <v>966</v>
      </c>
      <c r="C162" s="147"/>
      <c r="D162" s="198" t="s">
        <v>2</v>
      </c>
      <c r="E162" s="199">
        <f>G4*(338018.3-F162)+F162</f>
        <v>338018.3</v>
      </c>
      <c r="F162" s="65">
        <v>78203.539999999994</v>
      </c>
      <c r="G162" s="200">
        <f>G4*76709.72</f>
        <v>76709.72</v>
      </c>
      <c r="H162" s="201" t="s">
        <v>70</v>
      </c>
    </row>
    <row r="163" spans="1:8" s="2" customFormat="1" ht="15.75" outlineLevel="1">
      <c r="A163" s="215" t="s">
        <v>36</v>
      </c>
      <c r="B163" s="197" t="s">
        <v>967</v>
      </c>
      <c r="C163" s="147"/>
      <c r="D163" s="198" t="s">
        <v>2</v>
      </c>
      <c r="E163" s="199">
        <f>G4*(375668.69-F163)+F163</f>
        <v>375668.69</v>
      </c>
      <c r="F163" s="65">
        <v>99933.05</v>
      </c>
      <c r="G163" s="200">
        <f>G4*76709.72</f>
        <v>76709.72</v>
      </c>
      <c r="H163" s="201" t="s">
        <v>70</v>
      </c>
    </row>
    <row r="164" spans="1:8" s="2" customFormat="1" ht="15.75" outlineLevel="1">
      <c r="A164" s="215" t="s">
        <v>414</v>
      </c>
      <c r="B164" s="197" t="s">
        <v>1392</v>
      </c>
      <c r="C164" s="147"/>
      <c r="D164" s="198" t="s">
        <v>2</v>
      </c>
      <c r="E164" s="199">
        <f>G4*(449598.03-F164)+F164</f>
        <v>449598.03</v>
      </c>
      <c r="F164" s="65">
        <v>142020.66</v>
      </c>
      <c r="G164" s="200">
        <f>G4*76709.72</f>
        <v>76709.72</v>
      </c>
      <c r="H164" s="201" t="s">
        <v>70</v>
      </c>
    </row>
    <row r="165" spans="1:8" s="2" customFormat="1" ht="15.75" outlineLevel="1">
      <c r="A165" s="215" t="s">
        <v>415</v>
      </c>
      <c r="B165" s="197" t="s">
        <v>1393</v>
      </c>
      <c r="C165" s="147"/>
      <c r="D165" s="198" t="s">
        <v>2</v>
      </c>
      <c r="E165" s="199">
        <f>G4*(549659.79-F165)+F165</f>
        <v>549659.79</v>
      </c>
      <c r="F165" s="65">
        <v>254088.28</v>
      </c>
      <c r="G165" s="200">
        <f>G4*76709.72</f>
        <v>76709.72</v>
      </c>
      <c r="H165" s="201" t="s">
        <v>70</v>
      </c>
    </row>
    <row r="166" spans="1:8" s="2" customFormat="1" ht="15.75" outlineLevel="1">
      <c r="A166" s="215" t="s">
        <v>416</v>
      </c>
      <c r="B166" s="197" t="s">
        <v>1394</v>
      </c>
      <c r="C166" s="147"/>
      <c r="D166" s="198" t="s">
        <v>2</v>
      </c>
      <c r="E166" s="199">
        <f>G4*(856234.72-F166)+F166</f>
        <v>856234.72</v>
      </c>
      <c r="F166" s="65">
        <v>423509.93</v>
      </c>
      <c r="G166" s="200">
        <f>G4*76709.72</f>
        <v>76709.72</v>
      </c>
      <c r="H166" s="201" t="s">
        <v>70</v>
      </c>
    </row>
    <row r="167" spans="1:8" s="2" customFormat="1" ht="15.75" outlineLevel="1">
      <c r="A167" s="215" t="s">
        <v>417</v>
      </c>
      <c r="B167" s="197" t="s">
        <v>968</v>
      </c>
      <c r="C167" s="147"/>
      <c r="D167" s="198" t="s">
        <v>2</v>
      </c>
      <c r="E167" s="199">
        <f>G4*(1259817.4-F167)+F167</f>
        <v>1259817.3999999999</v>
      </c>
      <c r="F167" s="65">
        <v>668512.64</v>
      </c>
      <c r="G167" s="200">
        <f>G4*76709.72</f>
        <v>76709.72</v>
      </c>
      <c r="H167" s="201" t="s">
        <v>70</v>
      </c>
    </row>
    <row r="168" spans="1:8" s="2" customFormat="1" ht="15.75" outlineLevel="1">
      <c r="A168" s="215" t="s">
        <v>418</v>
      </c>
      <c r="B168" s="197" t="s">
        <v>1395</v>
      </c>
      <c r="C168" s="147"/>
      <c r="D168" s="198" t="s">
        <v>2</v>
      </c>
      <c r="E168" s="199">
        <f>G4*(1557920.46-F168)+F168</f>
        <v>1557920.46</v>
      </c>
      <c r="F168" s="65">
        <v>854797.85</v>
      </c>
      <c r="G168" s="200">
        <f>G4*76709.72</f>
        <v>76709.72</v>
      </c>
      <c r="H168" s="201" t="s">
        <v>70</v>
      </c>
    </row>
    <row r="169" spans="1:8" s="2" customFormat="1" ht="15.75" outlineLevel="1">
      <c r="A169" s="215" t="s">
        <v>419</v>
      </c>
      <c r="B169" s="197" t="s">
        <v>969</v>
      </c>
      <c r="C169" s="147"/>
      <c r="D169" s="198" t="s">
        <v>2</v>
      </c>
      <c r="E169" s="199">
        <f>G4*(2105792.45-F169)+F169</f>
        <v>2105792.4500000002</v>
      </c>
      <c r="F169" s="65">
        <v>1285083.76</v>
      </c>
      <c r="G169" s="200">
        <f>G4*76709.72</f>
        <v>76709.72</v>
      </c>
      <c r="H169" s="201" t="s">
        <v>70</v>
      </c>
    </row>
    <row r="170" spans="1:8" s="2" customFormat="1" ht="15.75" outlineLevel="1">
      <c r="A170" s="215" t="s">
        <v>985</v>
      </c>
      <c r="B170" s="197" t="s">
        <v>1396</v>
      </c>
      <c r="C170" s="147"/>
      <c r="D170" s="198" t="s">
        <v>2</v>
      </c>
      <c r="E170" s="199">
        <f>G4*(310303.28-F170)+F170</f>
        <v>310303.28000000003</v>
      </c>
      <c r="F170" s="65">
        <v>66409.38</v>
      </c>
      <c r="G170" s="200">
        <f>G4*76709.72</f>
        <v>76709.72</v>
      </c>
      <c r="H170" s="201" t="s">
        <v>70</v>
      </c>
    </row>
    <row r="171" spans="1:8" s="2" customFormat="1" ht="15.75" outlineLevel="1">
      <c r="A171" s="215" t="s">
        <v>986</v>
      </c>
      <c r="B171" s="197" t="s">
        <v>1397</v>
      </c>
      <c r="C171" s="147"/>
      <c r="D171" s="198" t="s">
        <v>2</v>
      </c>
      <c r="E171" s="199">
        <f>G4*(361096.2-F171)+F171</f>
        <v>361096.2</v>
      </c>
      <c r="F171" s="65">
        <v>101281.44</v>
      </c>
      <c r="G171" s="200">
        <f>G4*76709.72</f>
        <v>76709.72</v>
      </c>
      <c r="H171" s="201" t="s">
        <v>70</v>
      </c>
    </row>
    <row r="172" spans="1:8" s="2" customFormat="1" ht="15.75" outlineLevel="1">
      <c r="A172" s="215" t="s">
        <v>987</v>
      </c>
      <c r="B172" s="197" t="s">
        <v>1398</v>
      </c>
      <c r="C172" s="147"/>
      <c r="D172" s="198" t="s">
        <v>2</v>
      </c>
      <c r="E172" s="199">
        <f>G4*(410324.46-F172)+F172</f>
        <v>410324.46</v>
      </c>
      <c r="F172" s="65">
        <v>134588.82</v>
      </c>
      <c r="G172" s="200">
        <f>G4*76709.72</f>
        <v>76709.72</v>
      </c>
      <c r="H172" s="201" t="s">
        <v>70</v>
      </c>
    </row>
    <row r="173" spans="1:8" s="2" customFormat="1" ht="15.75" outlineLevel="1">
      <c r="A173" s="215" t="s">
        <v>988</v>
      </c>
      <c r="B173" s="197" t="s">
        <v>1399</v>
      </c>
      <c r="C173" s="147"/>
      <c r="D173" s="198" t="s">
        <v>2</v>
      </c>
      <c r="E173" s="199">
        <f>G4*(506981.51-F173)+F173</f>
        <v>506981.51</v>
      </c>
      <c r="F173" s="65">
        <v>199404.14</v>
      </c>
      <c r="G173" s="200">
        <f>G4*76709.72</f>
        <v>76709.72</v>
      </c>
      <c r="H173" s="201" t="s">
        <v>70</v>
      </c>
    </row>
    <row r="174" spans="1:8" s="2" customFormat="1" ht="15.75" outlineLevel="1">
      <c r="A174" s="215" t="s">
        <v>989</v>
      </c>
      <c r="B174" s="197" t="s">
        <v>1400</v>
      </c>
      <c r="C174" s="147"/>
      <c r="D174" s="198" t="s">
        <v>2</v>
      </c>
      <c r="E174" s="199">
        <f>G4*(665817.54-F174)+F174</f>
        <v>665817.54</v>
      </c>
      <c r="F174" s="65">
        <v>370246.03</v>
      </c>
      <c r="G174" s="200">
        <f>G4*76709.72</f>
        <v>76709.72</v>
      </c>
      <c r="H174" s="201" t="s">
        <v>70</v>
      </c>
    </row>
    <row r="175" spans="1:8" s="2" customFormat="1" ht="15.75" outlineLevel="1">
      <c r="A175" s="215" t="s">
        <v>990</v>
      </c>
      <c r="B175" s="197" t="s">
        <v>1401</v>
      </c>
      <c r="C175" s="147"/>
      <c r="D175" s="198" t="s">
        <v>2</v>
      </c>
      <c r="E175" s="199">
        <f>G4*(1109789.87-F175)+F175</f>
        <v>1109789.8700000001</v>
      </c>
      <c r="F175" s="65">
        <v>677065.08</v>
      </c>
      <c r="G175" s="200">
        <f>G4*76709.72</f>
        <v>76709.72</v>
      </c>
      <c r="H175" s="201" t="s">
        <v>70</v>
      </c>
    </row>
    <row r="176" spans="1:8" s="2" customFormat="1" ht="15.75" outlineLevel="1">
      <c r="A176" s="215" t="s">
        <v>991</v>
      </c>
      <c r="B176" s="197" t="s">
        <v>970</v>
      </c>
      <c r="C176" s="147"/>
      <c r="D176" s="198" t="s">
        <v>2</v>
      </c>
      <c r="E176" s="199">
        <f>G4*(1571681.78-F176)+F176</f>
        <v>1571681.78</v>
      </c>
      <c r="F176" s="65">
        <v>980377.02</v>
      </c>
      <c r="G176" s="200">
        <f>G4*76709.72</f>
        <v>76709.72</v>
      </c>
      <c r="H176" s="201" t="s">
        <v>70</v>
      </c>
    </row>
    <row r="177" spans="1:9" s="2" customFormat="1" ht="15.75" outlineLevel="1">
      <c r="A177" s="215" t="s">
        <v>992</v>
      </c>
      <c r="B177" s="197" t="s">
        <v>1402</v>
      </c>
      <c r="C177" s="147"/>
      <c r="D177" s="198" t="s">
        <v>2</v>
      </c>
      <c r="E177" s="199">
        <f>G4*(2092772.16-F177)+F177</f>
        <v>2092772.16</v>
      </c>
      <c r="F177" s="65">
        <v>1389649.55</v>
      </c>
      <c r="G177" s="200">
        <f>G4*76709.72</f>
        <v>76709.72</v>
      </c>
      <c r="H177" s="201" t="s">
        <v>70</v>
      </c>
    </row>
    <row r="178" spans="1:9" s="2" customFormat="1" ht="15.75" outlineLevel="1">
      <c r="A178" s="215" t="s">
        <v>993</v>
      </c>
      <c r="B178" s="197" t="s">
        <v>1403</v>
      </c>
      <c r="C178" s="205"/>
      <c r="D178" s="198" t="s">
        <v>2</v>
      </c>
      <c r="E178" s="199">
        <f>G4*(2550211.75-F178)+F178</f>
        <v>2550211.75</v>
      </c>
      <c r="F178" s="65">
        <v>1729503.06</v>
      </c>
      <c r="G178" s="200">
        <f>G4*76709.72</f>
        <v>76709.72</v>
      </c>
      <c r="H178" s="201" t="s">
        <v>70</v>
      </c>
    </row>
    <row r="179" spans="1:9" s="2" customFormat="1" ht="15.75" outlineLevel="1">
      <c r="A179" s="215" t="s">
        <v>994</v>
      </c>
      <c r="B179" s="197" t="s">
        <v>971</v>
      </c>
      <c r="C179" s="205"/>
      <c r="D179" s="198" t="s">
        <v>2</v>
      </c>
      <c r="E179" s="199">
        <f>G4*(2896111.98-F179)+F179</f>
        <v>2896111.98</v>
      </c>
      <c r="F179" s="65">
        <v>2075403.29</v>
      </c>
      <c r="G179" s="200">
        <f>G4*76709.72</f>
        <v>76709.72</v>
      </c>
      <c r="H179" s="201" t="s">
        <v>70</v>
      </c>
    </row>
    <row r="180" spans="1:9" s="2" customFormat="1" ht="15.75" outlineLevel="1">
      <c r="A180" s="215" t="s">
        <v>995</v>
      </c>
      <c r="B180" s="197" t="s">
        <v>1404</v>
      </c>
      <c r="C180" s="205"/>
      <c r="D180" s="198" t="s">
        <v>2</v>
      </c>
      <c r="E180" s="199">
        <f>G4*(500846.68-F180)+F180</f>
        <v>500846.68</v>
      </c>
      <c r="F180" s="65">
        <v>256952.78</v>
      </c>
      <c r="G180" s="200">
        <f>G4*76709.72</f>
        <v>76709.72</v>
      </c>
      <c r="H180" s="201" t="s">
        <v>70</v>
      </c>
    </row>
    <row r="181" spans="1:9" s="2" customFormat="1" ht="15.75" outlineLevel="1">
      <c r="A181" s="215" t="s">
        <v>996</v>
      </c>
      <c r="B181" s="197" t="s">
        <v>972</v>
      </c>
      <c r="C181" s="205"/>
      <c r="D181" s="198" t="s">
        <v>2</v>
      </c>
      <c r="E181" s="199">
        <f>G4*(761528.59-F181)+F181</f>
        <v>761528.59</v>
      </c>
      <c r="F181" s="65">
        <v>501713.83</v>
      </c>
      <c r="G181" s="200">
        <f>G4*76709.72</f>
        <v>76709.72</v>
      </c>
      <c r="H181" s="201" t="s">
        <v>70</v>
      </c>
    </row>
    <row r="182" spans="1:9" s="2" customFormat="1" ht="165.75" outlineLevel="1">
      <c r="A182" s="214" t="s">
        <v>37</v>
      </c>
      <c r="B182" s="191" t="s">
        <v>1452</v>
      </c>
      <c r="C182" s="191" t="s">
        <v>1782</v>
      </c>
      <c r="D182" s="192"/>
      <c r="E182" s="146"/>
      <c r="F182" s="203"/>
      <c r="G182" s="146"/>
      <c r="H182" s="196" t="s">
        <v>1743</v>
      </c>
      <c r="I182" s="513"/>
    </row>
    <row r="183" spans="1:9" s="2" customFormat="1" ht="15.75" outlineLevel="1">
      <c r="A183" s="215" t="s">
        <v>531</v>
      </c>
      <c r="B183" s="197" t="s">
        <v>965</v>
      </c>
      <c r="C183" s="147"/>
      <c r="D183" s="198" t="s">
        <v>2</v>
      </c>
      <c r="E183" s="199">
        <f>G4*(185786.7-F183)+F183</f>
        <v>185786.7</v>
      </c>
      <c r="F183" s="65">
        <v>53132.88</v>
      </c>
      <c r="G183" s="200">
        <f>G4*33704.17</f>
        <v>33704.17</v>
      </c>
      <c r="H183" s="201" t="s">
        <v>70</v>
      </c>
    </row>
    <row r="184" spans="1:9" s="2" customFormat="1" ht="15.75" outlineLevel="1">
      <c r="A184" s="215" t="s">
        <v>532</v>
      </c>
      <c r="B184" s="197" t="s">
        <v>966</v>
      </c>
      <c r="C184" s="147"/>
      <c r="D184" s="198" t="s">
        <v>2</v>
      </c>
      <c r="E184" s="199">
        <f>G4*(218475.99-F184)+F184</f>
        <v>218475.99</v>
      </c>
      <c r="F184" s="65">
        <v>78203.539999999994</v>
      </c>
      <c r="G184" s="200">
        <f>G4*33704.17</f>
        <v>33704.17</v>
      </c>
      <c r="H184" s="201" t="s">
        <v>70</v>
      </c>
    </row>
    <row r="185" spans="1:9" s="2" customFormat="1" ht="15.75" outlineLevel="1">
      <c r="A185" s="215" t="s">
        <v>533</v>
      </c>
      <c r="B185" s="197" t="s">
        <v>967</v>
      </c>
      <c r="C185" s="147"/>
      <c r="D185" s="198" t="s">
        <v>2</v>
      </c>
      <c r="E185" s="199">
        <f>G4*(247824.13-F185)+F185</f>
        <v>247824.13</v>
      </c>
      <c r="F185" s="65">
        <v>99933.05</v>
      </c>
      <c r="G185" s="200">
        <f>G4*33704.17</f>
        <v>33704.17</v>
      </c>
      <c r="H185" s="201" t="s">
        <v>70</v>
      </c>
    </row>
    <row r="186" spans="1:9" s="2" customFormat="1" ht="15.75" outlineLevel="1">
      <c r="A186" s="215" t="s">
        <v>535</v>
      </c>
      <c r="B186" s="197" t="s">
        <v>1392</v>
      </c>
      <c r="C186" s="147"/>
      <c r="D186" s="198" t="s">
        <v>2</v>
      </c>
      <c r="E186" s="199">
        <f>G4*(305149.02-F186)+F186</f>
        <v>305149.02</v>
      </c>
      <c r="F186" s="65">
        <v>142020.66</v>
      </c>
      <c r="G186" s="200">
        <f>G4*33704.17</f>
        <v>33704.17</v>
      </c>
      <c r="H186" s="201" t="s">
        <v>70</v>
      </c>
    </row>
    <row r="187" spans="1:9" s="2" customFormat="1" ht="15.75" outlineLevel="1">
      <c r="A187" s="215" t="s">
        <v>534</v>
      </c>
      <c r="B187" s="197" t="s">
        <v>1393</v>
      </c>
      <c r="C187" s="147"/>
      <c r="D187" s="198" t="s">
        <v>2</v>
      </c>
      <c r="E187" s="199">
        <f>G4*(426566.53-F187)+F187</f>
        <v>426566.53</v>
      </c>
      <c r="F187" s="65">
        <v>254088.28</v>
      </c>
      <c r="G187" s="200">
        <f>G4*33704.17</f>
        <v>33704.17</v>
      </c>
      <c r="H187" s="201" t="s">
        <v>70</v>
      </c>
    </row>
    <row r="188" spans="1:9" s="2" customFormat="1" ht="15.75" outlineLevel="1">
      <c r="A188" s="215" t="s">
        <v>536</v>
      </c>
      <c r="B188" s="197" t="s">
        <v>1394</v>
      </c>
      <c r="C188" s="147"/>
      <c r="D188" s="198" t="s">
        <v>2</v>
      </c>
      <c r="E188" s="199">
        <f>G4*(680745.11-F188)+F188</f>
        <v>680745.11</v>
      </c>
      <c r="F188" s="65">
        <v>423509.93</v>
      </c>
      <c r="G188" s="200">
        <f>G4*33704.17</f>
        <v>33704.17</v>
      </c>
      <c r="H188" s="201" t="s">
        <v>70</v>
      </c>
    </row>
    <row r="189" spans="1:9" s="2" customFormat="1" ht="15.75" outlineLevel="1">
      <c r="A189" s="215" t="s">
        <v>538</v>
      </c>
      <c r="B189" s="197" t="s">
        <v>968</v>
      </c>
      <c r="C189" s="147"/>
      <c r="D189" s="198" t="s">
        <v>2</v>
      </c>
      <c r="E189" s="199">
        <f>G4*(1012380.44-F189)+F189</f>
        <v>1012380.44</v>
      </c>
      <c r="F189" s="65">
        <v>668512.64</v>
      </c>
      <c r="G189" s="200">
        <f>G4*33704.17</f>
        <v>33704.17</v>
      </c>
      <c r="H189" s="201" t="s">
        <v>70</v>
      </c>
    </row>
    <row r="190" spans="1:9" s="2" customFormat="1" ht="15.75" outlineLevel="1">
      <c r="A190" s="215" t="s">
        <v>537</v>
      </c>
      <c r="B190" s="197" t="s">
        <v>1395</v>
      </c>
      <c r="C190" s="147"/>
      <c r="D190" s="198" t="s">
        <v>2</v>
      </c>
      <c r="E190" s="199">
        <f>G4*(1258471.54-F190)+F190</f>
        <v>1258471.54</v>
      </c>
      <c r="F190" s="65">
        <v>854797.85</v>
      </c>
      <c r="G190" s="200">
        <f>G4*33704.17</f>
        <v>33704.17</v>
      </c>
      <c r="H190" s="201" t="s">
        <v>70</v>
      </c>
    </row>
    <row r="191" spans="1:9" s="2" customFormat="1" ht="15.75" outlineLevel="1">
      <c r="A191" s="215" t="s">
        <v>539</v>
      </c>
      <c r="B191" s="197" t="s">
        <v>969</v>
      </c>
      <c r="C191" s="147"/>
      <c r="D191" s="198" t="s">
        <v>2</v>
      </c>
      <c r="E191" s="199">
        <f>G4*(1754930.47-F191)+F191</f>
        <v>1754930.47</v>
      </c>
      <c r="F191" s="65">
        <v>1285083.76</v>
      </c>
      <c r="G191" s="200">
        <f>G4*33704.17</f>
        <v>33704.17</v>
      </c>
      <c r="H191" s="201" t="s">
        <v>70</v>
      </c>
    </row>
    <row r="192" spans="1:9" s="2" customFormat="1" ht="15.75" outlineLevel="1">
      <c r="A192" s="215" t="s">
        <v>997</v>
      </c>
      <c r="B192" s="197" t="s">
        <v>1396</v>
      </c>
      <c r="C192" s="147"/>
      <c r="D192" s="198" t="s">
        <v>2</v>
      </c>
      <c r="E192" s="199">
        <f>G4*(199063.2-F192)+F192</f>
        <v>199063.2</v>
      </c>
      <c r="F192" s="65">
        <v>66409.38</v>
      </c>
      <c r="G192" s="200">
        <f>G4*33704.17</f>
        <v>33704.17</v>
      </c>
      <c r="H192" s="201" t="s">
        <v>70</v>
      </c>
    </row>
    <row r="193" spans="1:9" s="2" customFormat="1" ht="15.75" outlineLevel="1">
      <c r="A193" s="215" t="s">
        <v>998</v>
      </c>
      <c r="B193" s="197" t="s">
        <v>1397</v>
      </c>
      <c r="C193" s="147"/>
      <c r="D193" s="198" t="s">
        <v>2</v>
      </c>
      <c r="E193" s="199">
        <f>G4*(241553.89-F193)+F193</f>
        <v>241553.89</v>
      </c>
      <c r="F193" s="65">
        <v>101281.44</v>
      </c>
      <c r="G193" s="200">
        <f>G4*33704.17</f>
        <v>33704.17</v>
      </c>
      <c r="H193" s="201" t="s">
        <v>70</v>
      </c>
    </row>
    <row r="194" spans="1:9" s="2" customFormat="1" ht="15.75" outlineLevel="1">
      <c r="A194" s="215" t="s">
        <v>999</v>
      </c>
      <c r="B194" s="197" t="s">
        <v>1398</v>
      </c>
      <c r="C194" s="147"/>
      <c r="D194" s="198" t="s">
        <v>2</v>
      </c>
      <c r="E194" s="199">
        <f>G4*(282479.9-F194)+F194</f>
        <v>282479.90000000002</v>
      </c>
      <c r="F194" s="65">
        <v>134588.82</v>
      </c>
      <c r="G194" s="200">
        <f>G4*33704.17</f>
        <v>33704.17</v>
      </c>
      <c r="H194" s="201" t="s">
        <v>70</v>
      </c>
    </row>
    <row r="195" spans="1:9" s="2" customFormat="1" ht="15.75" outlineLevel="1">
      <c r="A195" s="215" t="s">
        <v>1000</v>
      </c>
      <c r="B195" s="197" t="s">
        <v>1399</v>
      </c>
      <c r="C195" s="147"/>
      <c r="D195" s="198" t="s">
        <v>2</v>
      </c>
      <c r="E195" s="199">
        <f>G4*(362532.5-F195)+F195</f>
        <v>362532.5</v>
      </c>
      <c r="F195" s="65">
        <v>199404.14</v>
      </c>
      <c r="G195" s="200">
        <f>G4*33704.17</f>
        <v>33704.17</v>
      </c>
      <c r="H195" s="201" t="s">
        <v>70</v>
      </c>
    </row>
    <row r="196" spans="1:9" s="2" customFormat="1" ht="15.75" outlineLevel="1">
      <c r="A196" s="215" t="s">
        <v>1001</v>
      </c>
      <c r="B196" s="197" t="s">
        <v>1400</v>
      </c>
      <c r="C196" s="147"/>
      <c r="D196" s="198" t="s">
        <v>2</v>
      </c>
      <c r="E196" s="199">
        <f>G4*(542724.28-F196)+F196</f>
        <v>542724.28</v>
      </c>
      <c r="F196" s="65">
        <v>370246.03</v>
      </c>
      <c r="G196" s="200">
        <f>G4*33704.17</f>
        <v>33704.17</v>
      </c>
      <c r="H196" s="201" t="s">
        <v>70</v>
      </c>
    </row>
    <row r="197" spans="1:9" s="2" customFormat="1" ht="15.75" outlineLevel="1">
      <c r="A197" s="215" t="s">
        <v>1002</v>
      </c>
      <c r="B197" s="197" t="s">
        <v>1401</v>
      </c>
      <c r="C197" s="147"/>
      <c r="D197" s="198" t="s">
        <v>2</v>
      </c>
      <c r="E197" s="199">
        <f>G4*(934300.26-F197)+F197</f>
        <v>934300.26</v>
      </c>
      <c r="F197" s="65">
        <v>677065.08</v>
      </c>
      <c r="G197" s="200">
        <f>G4*33704.17</f>
        <v>33704.17</v>
      </c>
      <c r="H197" s="201" t="s">
        <v>70</v>
      </c>
    </row>
    <row r="198" spans="1:9" s="2" customFormat="1" ht="15.75" outlineLevel="1">
      <c r="A198" s="215" t="s">
        <v>1003</v>
      </c>
      <c r="B198" s="197" t="s">
        <v>970</v>
      </c>
      <c r="C198" s="147"/>
      <c r="D198" s="198" t="s">
        <v>2</v>
      </c>
      <c r="E198" s="199">
        <f>G4*(1324244.82-F198)+F198</f>
        <v>1324244.82</v>
      </c>
      <c r="F198" s="65">
        <v>980377.02</v>
      </c>
      <c r="G198" s="200">
        <f>G4*33704.17</f>
        <v>33704.17</v>
      </c>
      <c r="H198" s="201" t="s">
        <v>70</v>
      </c>
    </row>
    <row r="199" spans="1:9" s="2" customFormat="1" ht="15.75" outlineLevel="1">
      <c r="A199" s="215" t="s">
        <v>1004</v>
      </c>
      <c r="B199" s="197" t="s">
        <v>1402</v>
      </c>
      <c r="C199" s="147"/>
      <c r="D199" s="198" t="s">
        <v>2</v>
      </c>
      <c r="E199" s="199">
        <f>G4*(1793323.24-F199)+F199</f>
        <v>1793323.24</v>
      </c>
      <c r="F199" s="65">
        <v>1389649.55</v>
      </c>
      <c r="G199" s="200">
        <f>G4*33704.17</f>
        <v>33704.17</v>
      </c>
      <c r="H199" s="201" t="s">
        <v>70</v>
      </c>
    </row>
    <row r="200" spans="1:9" s="2" customFormat="1" ht="15.75" outlineLevel="1">
      <c r="A200" s="215" t="s">
        <v>1005</v>
      </c>
      <c r="B200" s="197" t="s">
        <v>1403</v>
      </c>
      <c r="C200" s="147"/>
      <c r="D200" s="198" t="s">
        <v>2</v>
      </c>
      <c r="E200" s="199">
        <f>G4*(2199349.77-F200)+F200</f>
        <v>2199349.77</v>
      </c>
      <c r="F200" s="65">
        <v>1729503.06</v>
      </c>
      <c r="G200" s="200">
        <f>G4*33704.17</f>
        <v>33704.17</v>
      </c>
      <c r="H200" s="201" t="s">
        <v>70</v>
      </c>
    </row>
    <row r="201" spans="1:9" s="2" customFormat="1" ht="15.75" outlineLevel="1">
      <c r="A201" s="215" t="s">
        <v>1006</v>
      </c>
      <c r="B201" s="197" t="s">
        <v>971</v>
      </c>
      <c r="C201" s="147"/>
      <c r="D201" s="198" t="s">
        <v>2</v>
      </c>
      <c r="E201" s="199">
        <f>G4*(2545250-F201)+F201</f>
        <v>2545250</v>
      </c>
      <c r="F201" s="65">
        <v>2075403.29</v>
      </c>
      <c r="G201" s="200">
        <f>G4*33704.17</f>
        <v>33704.17</v>
      </c>
      <c r="H201" s="201" t="s">
        <v>70</v>
      </c>
    </row>
    <row r="202" spans="1:9" s="2" customFormat="1" ht="15.75" outlineLevel="1">
      <c r="A202" s="215" t="s">
        <v>1007</v>
      </c>
      <c r="B202" s="197" t="s">
        <v>1404</v>
      </c>
      <c r="C202" s="147"/>
      <c r="D202" s="198" t="s">
        <v>2</v>
      </c>
      <c r="E202" s="199">
        <f>G4*(389606.6-F202)+F202</f>
        <v>389606.6</v>
      </c>
      <c r="F202" s="65">
        <v>256952.78</v>
      </c>
      <c r="G202" s="200">
        <f>G4*33704.17</f>
        <v>33704.17</v>
      </c>
      <c r="H202" s="201" t="s">
        <v>70</v>
      </c>
    </row>
    <row r="203" spans="1:9" s="2" customFormat="1" ht="15.75" outlineLevel="1">
      <c r="A203" s="215" t="s">
        <v>1008</v>
      </c>
      <c r="B203" s="197" t="s">
        <v>972</v>
      </c>
      <c r="C203" s="147"/>
      <c r="D203" s="198" t="s">
        <v>2</v>
      </c>
      <c r="E203" s="199">
        <f>G4*(641986.28-F203)+F203</f>
        <v>641986.28</v>
      </c>
      <c r="F203" s="65">
        <v>501713.83</v>
      </c>
      <c r="G203" s="200">
        <f>G4*33704.17</f>
        <v>33704.17</v>
      </c>
      <c r="H203" s="201" t="s">
        <v>70</v>
      </c>
    </row>
    <row r="204" spans="1:9" s="2" customFormat="1" ht="63.75" outlineLevel="1">
      <c r="A204" s="216" t="s">
        <v>38</v>
      </c>
      <c r="B204" s="191" t="s">
        <v>540</v>
      </c>
      <c r="C204" s="191" t="s">
        <v>730</v>
      </c>
      <c r="D204" s="192"/>
      <c r="E204" s="210"/>
      <c r="F204" s="116"/>
      <c r="G204" s="146"/>
      <c r="H204" s="211" t="s">
        <v>817</v>
      </c>
      <c r="I204" s="513"/>
    </row>
    <row r="205" spans="1:9" s="2" customFormat="1" ht="15.75" outlineLevel="1">
      <c r="A205" s="215" t="s">
        <v>790</v>
      </c>
      <c r="B205" s="217" t="s">
        <v>517</v>
      </c>
      <c r="C205" s="56"/>
      <c r="D205" s="218" t="s">
        <v>518</v>
      </c>
      <c r="E205" s="186">
        <f>G4*1542.9</f>
        <v>1542.9</v>
      </c>
      <c r="F205" s="48"/>
      <c r="G205" s="187">
        <f>G4*142.04</f>
        <v>142.04</v>
      </c>
      <c r="H205" s="147" t="s">
        <v>70</v>
      </c>
    </row>
    <row r="206" spans="1:9" s="2" customFormat="1" ht="15.75" outlineLevel="1">
      <c r="A206" s="215" t="s">
        <v>791</v>
      </c>
      <c r="B206" s="217" t="s">
        <v>519</v>
      </c>
      <c r="C206" s="56"/>
      <c r="D206" s="218" t="s">
        <v>518</v>
      </c>
      <c r="E206" s="186">
        <f>G4*2196.6</f>
        <v>2196.6</v>
      </c>
      <c r="F206" s="48"/>
      <c r="G206" s="187">
        <f>G4*202.23</f>
        <v>202.23</v>
      </c>
      <c r="H206" s="147" t="s">
        <v>70</v>
      </c>
    </row>
    <row r="207" spans="1:9" s="2" customFormat="1" ht="15.75" outlineLevel="1">
      <c r="A207" s="215" t="s">
        <v>792</v>
      </c>
      <c r="B207" s="217" t="s">
        <v>520</v>
      </c>
      <c r="C207" s="56"/>
      <c r="D207" s="218" t="s">
        <v>518</v>
      </c>
      <c r="E207" s="186">
        <f>G4*3072.91</f>
        <v>3072.91</v>
      </c>
      <c r="F207" s="48"/>
      <c r="G207" s="187">
        <f>G4*282.91</f>
        <v>282.91000000000003</v>
      </c>
      <c r="H207" s="147" t="s">
        <v>70</v>
      </c>
    </row>
    <row r="208" spans="1:9" s="2" customFormat="1" ht="15.75" outlineLevel="1">
      <c r="A208" s="215" t="s">
        <v>793</v>
      </c>
      <c r="B208" s="217" t="s">
        <v>521</v>
      </c>
      <c r="C208" s="56"/>
      <c r="D208" s="218" t="s">
        <v>518</v>
      </c>
      <c r="E208" s="186">
        <f>G4*3814.98</f>
        <v>3814.98</v>
      </c>
      <c r="F208" s="48"/>
      <c r="G208" s="187">
        <f>G4*351.23</f>
        <v>351.23</v>
      </c>
      <c r="H208" s="147" t="s">
        <v>70</v>
      </c>
    </row>
    <row r="209" spans="1:9" s="2" customFormat="1" ht="15.75" outlineLevel="1">
      <c r="A209" s="215" t="s">
        <v>794</v>
      </c>
      <c r="B209" s="217" t="s">
        <v>522</v>
      </c>
      <c r="C209" s="56"/>
      <c r="D209" s="218" t="s">
        <v>518</v>
      </c>
      <c r="E209" s="186">
        <f>G4*6027.87</f>
        <v>6027.87</v>
      </c>
      <c r="F209" s="48"/>
      <c r="G209" s="187">
        <f>G4*554.96</f>
        <v>554.96</v>
      </c>
      <c r="H209" s="147" t="s">
        <v>70</v>
      </c>
    </row>
    <row r="210" spans="1:9" s="2" customFormat="1" ht="15.75" outlineLevel="1">
      <c r="A210" s="215" t="s">
        <v>795</v>
      </c>
      <c r="B210" s="217" t="s">
        <v>523</v>
      </c>
      <c r="C210" s="56"/>
      <c r="D210" s="218" t="s">
        <v>518</v>
      </c>
      <c r="E210" s="186">
        <f>G4*10650.18</f>
        <v>10650.18</v>
      </c>
      <c r="F210" s="48"/>
      <c r="G210" s="187">
        <f>G4*980.51</f>
        <v>980.51</v>
      </c>
      <c r="H210" s="147" t="s">
        <v>70</v>
      </c>
    </row>
    <row r="211" spans="1:9" s="2" customFormat="1" ht="15.75" outlineLevel="1">
      <c r="A211" s="215" t="s">
        <v>796</v>
      </c>
      <c r="B211" s="217" t="s">
        <v>524</v>
      </c>
      <c r="C211" s="56"/>
      <c r="D211" s="218" t="s">
        <v>518</v>
      </c>
      <c r="E211" s="186">
        <f>G4*12746.08</f>
        <v>12746.08</v>
      </c>
      <c r="F211" s="48"/>
      <c r="G211" s="187">
        <f>G4*1173.47</f>
        <v>1173.47</v>
      </c>
      <c r="H211" s="147" t="s">
        <v>70</v>
      </c>
    </row>
    <row r="212" spans="1:9" s="2" customFormat="1" ht="15.75" outlineLevel="1">
      <c r="A212" s="215" t="s">
        <v>797</v>
      </c>
      <c r="B212" s="217" t="s">
        <v>525</v>
      </c>
      <c r="C212" s="56"/>
      <c r="D212" s="218" t="s">
        <v>518</v>
      </c>
      <c r="E212" s="186">
        <f>G4*15663.76</f>
        <v>15663.76</v>
      </c>
      <c r="F212" s="48"/>
      <c r="G212" s="187">
        <f>G4*1442.09</f>
        <v>1442.09</v>
      </c>
      <c r="H212" s="147" t="s">
        <v>70</v>
      </c>
    </row>
    <row r="213" spans="1:9" s="2" customFormat="1" ht="15.75" outlineLevel="1">
      <c r="A213" s="215" t="s">
        <v>798</v>
      </c>
      <c r="B213" s="217" t="s">
        <v>526</v>
      </c>
      <c r="C213" s="56"/>
      <c r="D213" s="218" t="s">
        <v>518</v>
      </c>
      <c r="E213" s="186">
        <f>G4*24305.13</f>
        <v>24305.13</v>
      </c>
      <c r="F213" s="48"/>
      <c r="G213" s="187">
        <f>G4*2237.66</f>
        <v>2237.66</v>
      </c>
      <c r="H213" s="147" t="s">
        <v>70</v>
      </c>
    </row>
    <row r="214" spans="1:9" s="2" customFormat="1" ht="15.75" outlineLevel="1">
      <c r="A214" s="215" t="s">
        <v>799</v>
      </c>
      <c r="B214" s="217" t="s">
        <v>527</v>
      </c>
      <c r="C214" s="56"/>
      <c r="D214" s="218" t="s">
        <v>518</v>
      </c>
      <c r="E214" s="186">
        <f>G4*31581.85</f>
        <v>31581.85</v>
      </c>
      <c r="F214" s="48"/>
      <c r="G214" s="187">
        <f>G4*2907.6</f>
        <v>2907.6</v>
      </c>
      <c r="H214" s="147" t="s">
        <v>70</v>
      </c>
    </row>
    <row r="215" spans="1:9" s="2" customFormat="1" ht="25.5" outlineLevel="1">
      <c r="A215" s="62" t="s">
        <v>39</v>
      </c>
      <c r="B215" s="147" t="s">
        <v>105</v>
      </c>
      <c r="C215" s="147" t="s">
        <v>106</v>
      </c>
      <c r="D215" s="185" t="s">
        <v>65</v>
      </c>
      <c r="E215" s="186">
        <f>G4*26.14</f>
        <v>26.14</v>
      </c>
      <c r="F215" s="48"/>
      <c r="G215" s="187">
        <v>0</v>
      </c>
      <c r="H215" s="209" t="s">
        <v>637</v>
      </c>
    </row>
    <row r="216" spans="1:9" s="2" customFormat="1" ht="38.25" outlineLevel="1">
      <c r="A216" s="62" t="s">
        <v>800</v>
      </c>
      <c r="B216" s="147" t="s">
        <v>107</v>
      </c>
      <c r="C216" s="147" t="s">
        <v>96</v>
      </c>
      <c r="D216" s="185" t="s">
        <v>65</v>
      </c>
      <c r="E216" s="186">
        <f>G4*116.71</f>
        <v>116.71</v>
      </c>
      <c r="F216" s="48"/>
      <c r="G216" s="187">
        <v>0</v>
      </c>
      <c r="H216" s="209" t="s">
        <v>638</v>
      </c>
    </row>
    <row r="217" spans="1:9" s="2" customFormat="1" ht="63.75" outlineLevel="1">
      <c r="A217" s="62" t="s">
        <v>40</v>
      </c>
      <c r="B217" s="147" t="s">
        <v>818</v>
      </c>
      <c r="C217" s="147" t="s">
        <v>1492</v>
      </c>
      <c r="D217" s="185" t="s">
        <v>518</v>
      </c>
      <c r="E217" s="186">
        <f>G4*3173.16</f>
        <v>3173.16</v>
      </c>
      <c r="F217" s="48"/>
      <c r="G217" s="187">
        <v>0</v>
      </c>
      <c r="H217" s="209" t="s">
        <v>690</v>
      </c>
    </row>
    <row r="218" spans="1:9" s="2" customFormat="1" ht="15.75" outlineLevel="1">
      <c r="A218" s="214" t="s">
        <v>801</v>
      </c>
      <c r="B218" s="191" t="s">
        <v>542</v>
      </c>
      <c r="C218" s="191"/>
      <c r="D218" s="192"/>
      <c r="E218" s="210"/>
      <c r="F218" s="116"/>
      <c r="G218" s="146"/>
      <c r="H218" s="211" t="s">
        <v>70</v>
      </c>
      <c r="I218" s="513"/>
    </row>
    <row r="219" spans="1:9" s="2" customFormat="1" ht="76.5" outlineLevel="1">
      <c r="A219" s="62" t="s">
        <v>802</v>
      </c>
      <c r="B219" s="219" t="s">
        <v>1053</v>
      </c>
      <c r="C219" s="220" t="s">
        <v>658</v>
      </c>
      <c r="D219" s="221" t="s">
        <v>71</v>
      </c>
      <c r="E219" s="186">
        <f>G4*59579.51</f>
        <v>59579.51</v>
      </c>
      <c r="F219" s="48"/>
      <c r="G219" s="187">
        <f>G4*5957.95</f>
        <v>5957.95</v>
      </c>
      <c r="H219" s="211" t="s">
        <v>70</v>
      </c>
    </row>
    <row r="220" spans="1:9" s="2" customFormat="1" ht="76.5" outlineLevel="1">
      <c r="A220" s="62" t="s">
        <v>803</v>
      </c>
      <c r="B220" s="219" t="s">
        <v>1054</v>
      </c>
      <c r="C220" s="220" t="s">
        <v>658</v>
      </c>
      <c r="D220" s="221" t="s">
        <v>71</v>
      </c>
      <c r="E220" s="186">
        <f>G4*62737.6</f>
        <v>62737.599999999999</v>
      </c>
      <c r="F220" s="48"/>
      <c r="G220" s="187">
        <f>G4*6273.76</f>
        <v>6273.76</v>
      </c>
      <c r="H220" s="211" t="s">
        <v>70</v>
      </c>
    </row>
    <row r="221" spans="1:9" s="2" customFormat="1" ht="89.25" outlineLevel="1">
      <c r="A221" s="62" t="s">
        <v>804</v>
      </c>
      <c r="B221" s="220" t="s">
        <v>1055</v>
      </c>
      <c r="C221" s="220" t="s">
        <v>657</v>
      </c>
      <c r="D221" s="221"/>
      <c r="E221" s="222"/>
      <c r="F221" s="48"/>
      <c r="G221" s="187"/>
      <c r="H221" s="211" t="s">
        <v>70</v>
      </c>
    </row>
    <row r="222" spans="1:9" s="2" customFormat="1" ht="15.75" outlineLevel="1">
      <c r="A222" s="62" t="s">
        <v>805</v>
      </c>
      <c r="B222" s="213" t="s">
        <v>543</v>
      </c>
      <c r="C222" s="220"/>
      <c r="D222" s="223" t="s">
        <v>71</v>
      </c>
      <c r="E222" s="186">
        <f>G4*54335.85</f>
        <v>54335.85</v>
      </c>
      <c r="F222" s="48"/>
      <c r="G222" s="187">
        <f>G4*5433.58</f>
        <v>5433.58</v>
      </c>
      <c r="H222" s="211" t="s">
        <v>70</v>
      </c>
    </row>
    <row r="223" spans="1:9" s="2" customFormat="1" ht="15.75" outlineLevel="1">
      <c r="A223" s="62" t="s">
        <v>806</v>
      </c>
      <c r="B223" s="213" t="s">
        <v>544</v>
      </c>
      <c r="C223" s="220"/>
      <c r="D223" s="223" t="s">
        <v>71</v>
      </c>
      <c r="E223" s="186">
        <f>G4*153695.08</f>
        <v>153695.07999999999</v>
      </c>
      <c r="F223" s="48"/>
      <c r="G223" s="187">
        <f>G4*15369.51</f>
        <v>15369.51</v>
      </c>
      <c r="H223" s="211" t="s">
        <v>70</v>
      </c>
    </row>
    <row r="224" spans="1:9" s="2" customFormat="1" ht="15.75" outlineLevel="1">
      <c r="A224" s="62" t="s">
        <v>807</v>
      </c>
      <c r="B224" s="213" t="s">
        <v>545</v>
      </c>
      <c r="C224" s="220"/>
      <c r="D224" s="223" t="s">
        <v>71</v>
      </c>
      <c r="E224" s="186">
        <f>G4*234769.87</f>
        <v>234769.87</v>
      </c>
      <c r="F224" s="48"/>
      <c r="G224" s="187">
        <f>G4*23476.99</f>
        <v>23476.99</v>
      </c>
      <c r="H224" s="211" t="s">
        <v>70</v>
      </c>
    </row>
    <row r="225" spans="1:8" s="2" customFormat="1" ht="89.25" outlineLevel="1">
      <c r="A225" s="62" t="s">
        <v>808</v>
      </c>
      <c r="B225" s="220" t="s">
        <v>1056</v>
      </c>
      <c r="C225" s="220" t="s">
        <v>657</v>
      </c>
      <c r="D225" s="223"/>
      <c r="E225" s="224"/>
      <c r="F225" s="48"/>
      <c r="G225" s="187"/>
      <c r="H225" s="211" t="s">
        <v>70</v>
      </c>
    </row>
    <row r="226" spans="1:8" s="2" customFormat="1" ht="15.75" outlineLevel="1">
      <c r="A226" s="62" t="s">
        <v>809</v>
      </c>
      <c r="B226" s="213" t="s">
        <v>543</v>
      </c>
      <c r="C226" s="220"/>
      <c r="D226" s="223" t="s">
        <v>71</v>
      </c>
      <c r="E226" s="186">
        <f>G4*127216.25</f>
        <v>127216.25</v>
      </c>
      <c r="F226" s="48"/>
      <c r="G226" s="187">
        <f>G4*12721.62</f>
        <v>12721.62</v>
      </c>
      <c r="H226" s="211" t="s">
        <v>70</v>
      </c>
    </row>
    <row r="227" spans="1:8" s="2" customFormat="1" ht="15.75" outlineLevel="1">
      <c r="A227" s="62" t="s">
        <v>810</v>
      </c>
      <c r="B227" s="213" t="s">
        <v>544</v>
      </c>
      <c r="C227" s="220"/>
      <c r="D227" s="223" t="s">
        <v>71</v>
      </c>
      <c r="E227" s="186">
        <f>G4*194131.37</f>
        <v>194131.37</v>
      </c>
      <c r="F227" s="48"/>
      <c r="G227" s="187">
        <f>G4*19413.13</f>
        <v>19413.13</v>
      </c>
      <c r="H227" s="211" t="s">
        <v>70</v>
      </c>
    </row>
    <row r="228" spans="1:8" s="2" customFormat="1" ht="15.75" outlineLevel="1">
      <c r="A228" s="62" t="s">
        <v>811</v>
      </c>
      <c r="B228" s="213" t="s">
        <v>545</v>
      </c>
      <c r="C228" s="220"/>
      <c r="D228" s="223" t="s">
        <v>71</v>
      </c>
      <c r="E228" s="186">
        <f>G4*289906.89</f>
        <v>289906.89</v>
      </c>
      <c r="F228" s="48"/>
      <c r="G228" s="187">
        <f>G4*28990.69</f>
        <v>28990.69</v>
      </c>
      <c r="H228" s="211" t="s">
        <v>70</v>
      </c>
    </row>
    <row r="229" spans="1:8" s="2" customFormat="1" ht="89.25" outlineLevel="1">
      <c r="A229" s="62" t="s">
        <v>812</v>
      </c>
      <c r="B229" s="220" t="s">
        <v>1057</v>
      </c>
      <c r="C229" s="220" t="s">
        <v>657</v>
      </c>
      <c r="D229" s="221"/>
      <c r="E229" s="224"/>
      <c r="F229" s="48"/>
      <c r="G229" s="187"/>
      <c r="H229" s="211" t="s">
        <v>70</v>
      </c>
    </row>
    <row r="230" spans="1:8" s="2" customFormat="1" ht="15.75" outlineLevel="1">
      <c r="A230" s="62" t="s">
        <v>813</v>
      </c>
      <c r="B230" s="213" t="s">
        <v>543</v>
      </c>
      <c r="C230" s="220"/>
      <c r="D230" s="223" t="s">
        <v>71</v>
      </c>
      <c r="E230" s="186">
        <f>G4*69269.55</f>
        <v>69269.55</v>
      </c>
      <c r="F230" s="48"/>
      <c r="G230" s="187">
        <f>G4*6926.95</f>
        <v>6926.95</v>
      </c>
      <c r="H230" s="211" t="s">
        <v>70</v>
      </c>
    </row>
    <row r="231" spans="1:8" s="2" customFormat="1" ht="15.75" outlineLevel="1">
      <c r="A231" s="62" t="s">
        <v>814</v>
      </c>
      <c r="B231" s="213" t="s">
        <v>544</v>
      </c>
      <c r="C231" s="220"/>
      <c r="D231" s="223" t="s">
        <v>71</v>
      </c>
      <c r="E231" s="186">
        <f>G4*133192.2</f>
        <v>133192.20000000001</v>
      </c>
      <c r="F231" s="48"/>
      <c r="G231" s="187">
        <f>G4*13319.22</f>
        <v>13319.22</v>
      </c>
      <c r="H231" s="211" t="s">
        <v>70</v>
      </c>
    </row>
    <row r="232" spans="1:8" s="2" customFormat="1" ht="15.75" outlineLevel="1">
      <c r="A232" s="62" t="s">
        <v>815</v>
      </c>
      <c r="B232" s="213" t="s">
        <v>545</v>
      </c>
      <c r="C232" s="220"/>
      <c r="D232" s="223" t="s">
        <v>71</v>
      </c>
      <c r="E232" s="186">
        <f>G4*199042.52</f>
        <v>199042.52</v>
      </c>
      <c r="F232" s="48"/>
      <c r="G232" s="187">
        <f>G4*19904.25</f>
        <v>19904.25</v>
      </c>
      <c r="H232" s="211" t="s">
        <v>70</v>
      </c>
    </row>
    <row r="233" spans="1:8" s="2" customFormat="1" ht="15.75" outlineLevel="1">
      <c r="A233" s="225"/>
      <c r="B233" s="226"/>
      <c r="C233" s="227"/>
      <c r="D233" s="228"/>
      <c r="E233" s="229"/>
      <c r="F233" s="230"/>
      <c r="G233" s="231"/>
      <c r="H233" s="232"/>
    </row>
    <row r="234" spans="1:8" s="2" customFormat="1" ht="15.75" outlineLevel="1">
      <c r="A234" s="233" t="s">
        <v>1381</v>
      </c>
      <c r="B234" s="234"/>
      <c r="C234" s="235"/>
      <c r="D234" s="236"/>
      <c r="E234" s="237"/>
      <c r="F234" s="238"/>
      <c r="G234" s="239"/>
      <c r="H234" s="240"/>
    </row>
    <row r="235" spans="1:8" s="2" customFormat="1" ht="15.75" outlineLevel="1">
      <c r="A235" s="241" t="s">
        <v>1388</v>
      </c>
      <c r="B235" s="234"/>
      <c r="C235" s="235"/>
      <c r="D235" s="236"/>
      <c r="E235" s="237"/>
      <c r="F235" s="238"/>
      <c r="G235" s="239"/>
      <c r="H235" s="240"/>
    </row>
    <row r="236" spans="1:8" s="2" customFormat="1" ht="15.75" outlineLevel="1">
      <c r="A236" s="241" t="s">
        <v>1389</v>
      </c>
      <c r="B236" s="234"/>
      <c r="C236" s="235"/>
      <c r="D236" s="236"/>
      <c r="E236" s="237"/>
      <c r="F236" s="238"/>
      <c r="G236" s="239"/>
      <c r="H236" s="240"/>
    </row>
    <row r="237" spans="1:8" s="2" customFormat="1" ht="15.75" outlineLevel="1">
      <c r="A237" s="241" t="s">
        <v>1390</v>
      </c>
      <c r="B237" s="234"/>
      <c r="C237" s="235"/>
      <c r="D237" s="236"/>
      <c r="E237" s="237"/>
      <c r="F237" s="238"/>
      <c r="G237" s="239"/>
      <c r="H237" s="240"/>
    </row>
    <row r="238" spans="1:8" s="2" customFormat="1" ht="15.75" outlineLevel="1">
      <c r="A238" s="241" t="s">
        <v>1406</v>
      </c>
      <c r="B238" s="234"/>
      <c r="C238" s="235"/>
      <c r="D238" s="236"/>
      <c r="E238" s="237"/>
      <c r="F238" s="238"/>
      <c r="G238" s="239"/>
      <c r="H238" s="240"/>
    </row>
    <row r="239" spans="1:8" s="2" customFormat="1" ht="15.75" outlineLevel="1">
      <c r="A239" s="242" t="s">
        <v>1407</v>
      </c>
      <c r="B239" s="234"/>
      <c r="C239" s="235"/>
      <c r="D239" s="236"/>
      <c r="E239" s="237"/>
      <c r="F239" s="238"/>
      <c r="G239" s="239"/>
      <c r="H239" s="240"/>
    </row>
    <row r="240" spans="1:8" s="2" customFormat="1" ht="15.75" outlineLevel="1">
      <c r="A240" s="241" t="s">
        <v>1408</v>
      </c>
      <c r="B240" s="234"/>
      <c r="C240" s="235"/>
      <c r="D240" s="236"/>
      <c r="E240" s="237"/>
      <c r="F240" s="238"/>
      <c r="G240" s="239"/>
      <c r="H240" s="240"/>
    </row>
    <row r="241" spans="1:9" s="2" customFormat="1" ht="15.75" outlineLevel="1">
      <c r="A241" s="243"/>
      <c r="B241" s="244"/>
      <c r="C241" s="245"/>
      <c r="D241" s="246"/>
      <c r="E241" s="247"/>
      <c r="F241" s="248"/>
      <c r="G241" s="249"/>
      <c r="H241" s="250"/>
    </row>
    <row r="242" spans="1:9" s="2" customFormat="1" ht="40.15" customHeight="1">
      <c r="A242" s="103">
        <v>5</v>
      </c>
      <c r="B242" s="525" t="s">
        <v>767</v>
      </c>
      <c r="C242" s="524"/>
      <c r="D242" s="251"/>
      <c r="E242" s="252"/>
      <c r="F242" s="177"/>
      <c r="G242" s="178"/>
      <c r="H242" s="253"/>
      <c r="I242" s="513"/>
    </row>
    <row r="243" spans="1:9" s="2" customFormat="1" ht="40.15" customHeight="1" outlineLevel="1">
      <c r="A243" s="516" t="s">
        <v>1422</v>
      </c>
      <c r="B243" s="516"/>
      <c r="C243" s="517"/>
      <c r="D243" s="254"/>
      <c r="E243" s="75"/>
      <c r="F243" s="76"/>
      <c r="G243" s="33"/>
      <c r="H243" s="255"/>
      <c r="I243" s="4"/>
    </row>
    <row r="244" spans="1:9" s="2" customFormat="1" ht="89.25" outlineLevel="1">
      <c r="A244" s="256" t="s">
        <v>899</v>
      </c>
      <c r="B244" s="219" t="s">
        <v>1059</v>
      </c>
      <c r="C244" s="219" t="s">
        <v>1058</v>
      </c>
      <c r="D244" s="221" t="s">
        <v>2</v>
      </c>
      <c r="E244" s="186">
        <f>G4*686536.06</f>
        <v>686536.06</v>
      </c>
      <c r="F244" s="48"/>
      <c r="G244" s="187">
        <f>G4*72337.84</f>
        <v>72337.84</v>
      </c>
      <c r="H244" s="79" t="s">
        <v>70</v>
      </c>
      <c r="I244" s="4"/>
    </row>
    <row r="245" spans="1:9" s="2" customFormat="1" ht="89.25" outlineLevel="1">
      <c r="A245" s="62" t="s">
        <v>74</v>
      </c>
      <c r="B245" s="219" t="s">
        <v>1060</v>
      </c>
      <c r="C245" s="219" t="s">
        <v>1058</v>
      </c>
      <c r="D245" s="221" t="s">
        <v>2</v>
      </c>
      <c r="E245" s="186">
        <f>G4*771388.84</f>
        <v>771388.84</v>
      </c>
      <c r="F245" s="48"/>
      <c r="G245" s="187">
        <f>G4*81278.48</f>
        <v>81278.48</v>
      </c>
      <c r="H245" s="147" t="s">
        <v>70</v>
      </c>
      <c r="I245" s="4"/>
    </row>
    <row r="246" spans="1:9" s="2" customFormat="1" ht="38.25" outlineLevel="1">
      <c r="A246" s="62" t="s">
        <v>75</v>
      </c>
      <c r="B246" s="220" t="s">
        <v>1061</v>
      </c>
      <c r="C246" s="220" t="s">
        <v>1358</v>
      </c>
      <c r="D246" s="221" t="s">
        <v>16</v>
      </c>
      <c r="E246" s="186">
        <f>G4*492263.99</f>
        <v>492263.99</v>
      </c>
      <c r="F246" s="48"/>
      <c r="G246" s="187">
        <f>G4*63994.32</f>
        <v>63994.32</v>
      </c>
      <c r="H246" s="209" t="s">
        <v>1745</v>
      </c>
    </row>
    <row r="247" spans="1:9" s="2" customFormat="1" ht="76.5" outlineLevel="1">
      <c r="A247" s="62" t="s">
        <v>76</v>
      </c>
      <c r="B247" s="220" t="s">
        <v>129</v>
      </c>
      <c r="C247" s="220" t="s">
        <v>1062</v>
      </c>
      <c r="D247" s="221" t="s">
        <v>16</v>
      </c>
      <c r="E247" s="186">
        <f>G4*492263.99</f>
        <v>492263.99</v>
      </c>
      <c r="F247" s="48"/>
      <c r="G247" s="187">
        <f>G4*63994.32</f>
        <v>63994.32</v>
      </c>
      <c r="H247" s="209" t="s">
        <v>589</v>
      </c>
      <c r="I247" s="4"/>
    </row>
    <row r="248" spans="1:9" s="2" customFormat="1" ht="51" outlineLevel="1">
      <c r="A248" s="62" t="s">
        <v>78</v>
      </c>
      <c r="B248" s="220" t="s">
        <v>850</v>
      </c>
      <c r="C248" s="220" t="s">
        <v>1063</v>
      </c>
      <c r="D248" s="221" t="s">
        <v>16</v>
      </c>
      <c r="E248" s="186">
        <f>G4*869513.18</f>
        <v>869513.18</v>
      </c>
      <c r="F248" s="48"/>
      <c r="G248" s="187">
        <f>G4*43475.66</f>
        <v>43475.66</v>
      </c>
      <c r="H248" s="209" t="s">
        <v>851</v>
      </c>
    </row>
    <row r="249" spans="1:9" s="2" customFormat="1" ht="63.75" outlineLevel="1">
      <c r="A249" s="214" t="s">
        <v>79</v>
      </c>
      <c r="B249" s="257" t="s">
        <v>1064</v>
      </c>
      <c r="C249" s="257" t="s">
        <v>652</v>
      </c>
      <c r="D249" s="258" t="s">
        <v>163</v>
      </c>
      <c r="E249" s="210"/>
      <c r="F249" s="116"/>
      <c r="G249" s="146"/>
      <c r="H249" s="211" t="s">
        <v>1034</v>
      </c>
    </row>
    <row r="250" spans="1:9" s="2" customFormat="1" ht="25.5" outlineLevel="1">
      <c r="A250" s="62" t="s">
        <v>305</v>
      </c>
      <c r="B250" s="259" t="s">
        <v>118</v>
      </c>
      <c r="C250" s="220"/>
      <c r="D250" s="221" t="s">
        <v>163</v>
      </c>
      <c r="E250" s="186">
        <f>G4*3281.75</f>
        <v>3281.75</v>
      </c>
      <c r="F250" s="48"/>
      <c r="G250" s="187">
        <f>G4*360.99</f>
        <v>360.99</v>
      </c>
      <c r="H250" s="147" t="s">
        <v>70</v>
      </c>
    </row>
    <row r="251" spans="1:9" s="2" customFormat="1" ht="25.5" outlineLevel="1">
      <c r="A251" s="62" t="s">
        <v>306</v>
      </c>
      <c r="B251" s="259" t="s">
        <v>117</v>
      </c>
      <c r="C251" s="220"/>
      <c r="D251" s="221" t="s">
        <v>163</v>
      </c>
      <c r="E251" s="186">
        <f>G4*4806.26</f>
        <v>4806.26</v>
      </c>
      <c r="F251" s="48"/>
      <c r="G251" s="187">
        <f>G4*528.69</f>
        <v>528.69000000000005</v>
      </c>
      <c r="H251" s="147" t="s">
        <v>70</v>
      </c>
    </row>
    <row r="252" spans="1:9" s="2" customFormat="1" ht="51" outlineLevel="1">
      <c r="A252" s="214" t="s">
        <v>80</v>
      </c>
      <c r="B252" s="257" t="s">
        <v>1066</v>
      </c>
      <c r="C252" s="257" t="s">
        <v>647</v>
      </c>
      <c r="D252" s="258" t="s">
        <v>163</v>
      </c>
      <c r="E252" s="210"/>
      <c r="F252" s="116"/>
      <c r="G252" s="146"/>
      <c r="H252" s="211" t="s">
        <v>1034</v>
      </c>
    </row>
    <row r="253" spans="1:9" s="2" customFormat="1" ht="25.5" outlineLevel="1">
      <c r="A253" s="62" t="s">
        <v>587</v>
      </c>
      <c r="B253" s="208" t="s">
        <v>118</v>
      </c>
      <c r="C253" s="147"/>
      <c r="D253" s="185" t="s">
        <v>163</v>
      </c>
      <c r="E253" s="186">
        <f>G4*1079.2</f>
        <v>1079.2</v>
      </c>
      <c r="F253" s="48"/>
      <c r="G253" s="187">
        <f>G4*118.71</f>
        <v>118.71</v>
      </c>
      <c r="H253" s="147" t="s">
        <v>70</v>
      </c>
    </row>
    <row r="254" spans="1:9" s="2" customFormat="1" ht="25.5" outlineLevel="1">
      <c r="A254" s="62" t="s">
        <v>588</v>
      </c>
      <c r="B254" s="208" t="s">
        <v>117</v>
      </c>
      <c r="C254" s="147"/>
      <c r="D254" s="185" t="s">
        <v>163</v>
      </c>
      <c r="E254" s="186">
        <f>G4*1575.63</f>
        <v>1575.63</v>
      </c>
      <c r="F254" s="48"/>
      <c r="G254" s="187">
        <f>G4*173.32</f>
        <v>173.32</v>
      </c>
      <c r="H254" s="147" t="s">
        <v>70</v>
      </c>
    </row>
    <row r="255" spans="1:9" s="2" customFormat="1" ht="63.75" outlineLevel="1">
      <c r="A255" s="214" t="s">
        <v>81</v>
      </c>
      <c r="B255" s="257" t="s">
        <v>1065</v>
      </c>
      <c r="C255" s="257" t="s">
        <v>687</v>
      </c>
      <c r="D255" s="258" t="s">
        <v>163</v>
      </c>
      <c r="E255" s="210"/>
      <c r="F255" s="116"/>
      <c r="G255" s="146"/>
      <c r="H255" s="147" t="s">
        <v>70</v>
      </c>
    </row>
    <row r="256" spans="1:9" s="2" customFormat="1" ht="25.5" outlineLevel="1">
      <c r="A256" s="62" t="s">
        <v>700</v>
      </c>
      <c r="B256" s="260" t="s">
        <v>1067</v>
      </c>
      <c r="C256" s="219"/>
      <c r="D256" s="185" t="s">
        <v>163</v>
      </c>
      <c r="E256" s="186">
        <f>G4*2007</f>
        <v>2007</v>
      </c>
      <c r="F256" s="48"/>
      <c r="G256" s="187">
        <f>G4*172</f>
        <v>172</v>
      </c>
      <c r="H256" s="147" t="s">
        <v>70</v>
      </c>
    </row>
    <row r="257" spans="1:9" s="2" customFormat="1" ht="25.5" outlineLevel="1">
      <c r="A257" s="62" t="s">
        <v>701</v>
      </c>
      <c r="B257" s="260" t="s">
        <v>1068</v>
      </c>
      <c r="C257" s="219"/>
      <c r="D257" s="185" t="s">
        <v>163</v>
      </c>
      <c r="E257" s="186">
        <f>G4*2407.76</f>
        <v>2407.7600000000002</v>
      </c>
      <c r="F257" s="48"/>
      <c r="G257" s="187">
        <f>G4*206.08</f>
        <v>206.08</v>
      </c>
      <c r="H257" s="147" t="s">
        <v>70</v>
      </c>
    </row>
    <row r="258" spans="1:9" s="2" customFormat="1" ht="51" outlineLevel="1">
      <c r="A258" s="62" t="s">
        <v>900</v>
      </c>
      <c r="B258" s="219" t="s">
        <v>1069</v>
      </c>
      <c r="C258" s="147" t="s">
        <v>901</v>
      </c>
      <c r="D258" s="185" t="s">
        <v>42</v>
      </c>
      <c r="E258" s="186">
        <f>G4*23060.02</f>
        <v>23060.02</v>
      </c>
      <c r="F258" s="48"/>
      <c r="G258" s="187">
        <f>G4*3968.63</f>
        <v>3968.63</v>
      </c>
      <c r="H258" s="147" t="s">
        <v>70</v>
      </c>
    </row>
    <row r="259" spans="1:9" s="2" customFormat="1" ht="39.6" customHeight="1" outlineLevel="1">
      <c r="A259" s="62" t="s">
        <v>82</v>
      </c>
      <c r="B259" s="147" t="s">
        <v>1070</v>
      </c>
      <c r="C259" s="147" t="s">
        <v>126</v>
      </c>
      <c r="D259" s="185" t="s">
        <v>42</v>
      </c>
      <c r="E259" s="186">
        <f>G4*25910.13</f>
        <v>25910.13</v>
      </c>
      <c r="F259" s="48"/>
      <c r="G259" s="187">
        <f>G4*3968.63</f>
        <v>3968.63</v>
      </c>
      <c r="H259" s="147" t="s">
        <v>70</v>
      </c>
    </row>
    <row r="260" spans="1:9" s="2" customFormat="1" ht="39.6" customHeight="1" outlineLevel="1">
      <c r="A260" s="62" t="s">
        <v>83</v>
      </c>
      <c r="B260" s="147" t="s">
        <v>1071</v>
      </c>
      <c r="C260" s="147" t="s">
        <v>127</v>
      </c>
      <c r="D260" s="185" t="s">
        <v>42</v>
      </c>
      <c r="E260" s="186">
        <f>G4*27914.7</f>
        <v>27914.7</v>
      </c>
      <c r="F260" s="48"/>
      <c r="G260" s="187">
        <f>G4*3968.63</f>
        <v>3968.63</v>
      </c>
      <c r="H260" s="147" t="s">
        <v>70</v>
      </c>
    </row>
    <row r="261" spans="1:9" s="2" customFormat="1" ht="39.6" customHeight="1" outlineLevel="1">
      <c r="A261" s="62" t="s">
        <v>84</v>
      </c>
      <c r="B261" s="147" t="s">
        <v>1072</v>
      </c>
      <c r="C261" s="147" t="s">
        <v>102</v>
      </c>
      <c r="D261" s="185" t="s">
        <v>42</v>
      </c>
      <c r="E261" s="186">
        <f>G4*29659.08</f>
        <v>29659.08</v>
      </c>
      <c r="F261" s="48"/>
      <c r="G261" s="187">
        <f>G4*3968.63</f>
        <v>3968.63</v>
      </c>
      <c r="H261" s="147" t="s">
        <v>70</v>
      </c>
    </row>
    <row r="262" spans="1:9" s="2" customFormat="1" ht="39.6" customHeight="1" outlineLevel="1">
      <c r="A262" s="62" t="s">
        <v>85</v>
      </c>
      <c r="B262" s="147" t="s">
        <v>1073</v>
      </c>
      <c r="C262" s="147" t="s">
        <v>103</v>
      </c>
      <c r="D262" s="185" t="s">
        <v>42</v>
      </c>
      <c r="E262" s="186">
        <f>G4*36078.45</f>
        <v>36078.449999999997</v>
      </c>
      <c r="F262" s="48"/>
      <c r="G262" s="187">
        <f>G4*3968.63</f>
        <v>3968.63</v>
      </c>
      <c r="H262" s="147" t="s">
        <v>70</v>
      </c>
    </row>
    <row r="263" spans="1:9" s="2" customFormat="1" ht="51" outlineLevel="1">
      <c r="A263" s="62" t="s">
        <v>86</v>
      </c>
      <c r="B263" s="147" t="s">
        <v>1074</v>
      </c>
      <c r="C263" s="147" t="s">
        <v>104</v>
      </c>
      <c r="D263" s="185" t="s">
        <v>42</v>
      </c>
      <c r="E263" s="186">
        <f>G4*9802.24</f>
        <v>9802.24</v>
      </c>
      <c r="F263" s="48"/>
      <c r="G263" s="187">
        <f>G4*1078.24</f>
        <v>1078.24</v>
      </c>
      <c r="H263" s="147" t="s">
        <v>70</v>
      </c>
    </row>
    <row r="264" spans="1:9" s="2" customFormat="1" ht="38.25" outlineLevel="1">
      <c r="A264" s="62" t="s">
        <v>87</v>
      </c>
      <c r="B264" s="220" t="s">
        <v>1075</v>
      </c>
      <c r="C264" s="220" t="s">
        <v>554</v>
      </c>
      <c r="D264" s="221" t="s">
        <v>42</v>
      </c>
      <c r="E264" s="186">
        <f>G4*14174.1</f>
        <v>14174.1</v>
      </c>
      <c r="F264" s="48"/>
      <c r="G264" s="187">
        <f>G4*1212.92</f>
        <v>1212.92</v>
      </c>
      <c r="H264" s="147" t="s">
        <v>70</v>
      </c>
    </row>
    <row r="265" spans="1:9" s="2" customFormat="1" ht="51" outlineLevel="1">
      <c r="A265" s="62" t="s">
        <v>88</v>
      </c>
      <c r="B265" s="147" t="s">
        <v>52</v>
      </c>
      <c r="C265" s="147" t="s">
        <v>123</v>
      </c>
      <c r="D265" s="185" t="s">
        <v>42</v>
      </c>
      <c r="E265" s="186">
        <f>G4*32621.85</f>
        <v>32621.85</v>
      </c>
      <c r="F265" s="48"/>
      <c r="G265" s="187">
        <f>G4*3588.4</f>
        <v>3588.4</v>
      </c>
      <c r="H265" s="147" t="s">
        <v>70</v>
      </c>
    </row>
    <row r="266" spans="1:9" s="2" customFormat="1" ht="25.5" outlineLevel="1">
      <c r="A266" s="62" t="s">
        <v>89</v>
      </c>
      <c r="B266" s="56" t="s">
        <v>128</v>
      </c>
      <c r="C266" s="56" t="s">
        <v>642</v>
      </c>
      <c r="D266" s="218" t="s">
        <v>93</v>
      </c>
      <c r="E266" s="186">
        <f>G4*1187.91</f>
        <v>1187.9100000000001</v>
      </c>
      <c r="F266" s="48"/>
      <c r="G266" s="187">
        <f>G4*130.67</f>
        <v>130.66999999999999</v>
      </c>
      <c r="H266" s="211" t="s">
        <v>646</v>
      </c>
    </row>
    <row r="267" spans="1:9" s="2" customFormat="1" ht="25.5" outlineLevel="1">
      <c r="A267" s="62" t="s">
        <v>144</v>
      </c>
      <c r="B267" s="56" t="s">
        <v>620</v>
      </c>
      <c r="C267" s="56" t="s">
        <v>643</v>
      </c>
      <c r="D267" s="218" t="s">
        <v>93</v>
      </c>
      <c r="E267" s="186">
        <f>G4*991.9</f>
        <v>991.9</v>
      </c>
      <c r="F267" s="48"/>
      <c r="G267" s="187">
        <f>G4*64.5</f>
        <v>64.5</v>
      </c>
      <c r="H267" s="211" t="s">
        <v>646</v>
      </c>
    </row>
    <row r="268" spans="1:9" s="2" customFormat="1" ht="63.75" outlineLevel="1">
      <c r="A268" s="62" t="s">
        <v>145</v>
      </c>
      <c r="B268" s="56" t="s">
        <v>621</v>
      </c>
      <c r="C268" s="56" t="s">
        <v>870</v>
      </c>
      <c r="D268" s="218" t="s">
        <v>93</v>
      </c>
      <c r="E268" s="186">
        <f>G4*471</f>
        <v>471</v>
      </c>
      <c r="F268" s="48"/>
      <c r="G268" s="187">
        <f>G4*24.83</f>
        <v>24.83</v>
      </c>
      <c r="H268" s="211" t="s">
        <v>1076</v>
      </c>
    </row>
    <row r="269" spans="1:9" s="2" customFormat="1" ht="51" outlineLevel="1">
      <c r="A269" s="62" t="s">
        <v>146</v>
      </c>
      <c r="B269" s="56" t="s">
        <v>644</v>
      </c>
      <c r="C269" s="56" t="s">
        <v>645</v>
      </c>
      <c r="D269" s="218" t="s">
        <v>93</v>
      </c>
      <c r="E269" s="186">
        <f>G4*333.05</f>
        <v>333.05</v>
      </c>
      <c r="F269" s="48"/>
      <c r="G269" s="187">
        <f>G4*17.66</f>
        <v>17.66</v>
      </c>
      <c r="H269" s="211" t="s">
        <v>1077</v>
      </c>
    </row>
    <row r="270" spans="1:9" s="2" customFormat="1" ht="51" outlineLevel="1">
      <c r="A270" s="62" t="s">
        <v>149</v>
      </c>
      <c r="B270" s="56" t="s">
        <v>555</v>
      </c>
      <c r="C270" s="56" t="s">
        <v>765</v>
      </c>
      <c r="D270" s="218" t="s">
        <v>42</v>
      </c>
      <c r="E270" s="186">
        <f>G4*2475.82</f>
        <v>2475.8200000000002</v>
      </c>
      <c r="F270" s="48"/>
      <c r="G270" s="187">
        <f>G4*248.31</f>
        <v>248.31</v>
      </c>
      <c r="H270" s="211" t="s">
        <v>691</v>
      </c>
    </row>
    <row r="271" spans="1:9" s="2" customFormat="1" ht="76.5" outlineLevel="1">
      <c r="A271" s="214" t="s">
        <v>151</v>
      </c>
      <c r="B271" s="191" t="s">
        <v>1457</v>
      </c>
      <c r="C271" s="257" t="s">
        <v>874</v>
      </c>
      <c r="D271" s="192" t="s">
        <v>54</v>
      </c>
      <c r="E271" s="210"/>
      <c r="F271" s="116"/>
      <c r="G271" s="146"/>
      <c r="H271" s="56"/>
      <c r="I271" s="513"/>
    </row>
    <row r="272" spans="1:9" s="2" customFormat="1" ht="15.75" outlineLevel="1">
      <c r="A272" s="261" t="s">
        <v>673</v>
      </c>
      <c r="B272" s="262" t="s">
        <v>731</v>
      </c>
      <c r="C272" s="263"/>
      <c r="D272" s="185" t="s">
        <v>54</v>
      </c>
      <c r="E272" s="186">
        <f>G4*13218.33</f>
        <v>13218.33</v>
      </c>
      <c r="F272" s="48"/>
      <c r="G272" s="187">
        <f>G4*1943.87</f>
        <v>1943.87</v>
      </c>
      <c r="H272" s="147" t="s">
        <v>70</v>
      </c>
    </row>
    <row r="273" spans="1:9" s="2" customFormat="1" ht="15.75" outlineLevel="1">
      <c r="A273" s="261" t="s">
        <v>674</v>
      </c>
      <c r="B273" s="264" t="s">
        <v>873</v>
      </c>
      <c r="C273" s="147"/>
      <c r="D273" s="185" t="s">
        <v>54</v>
      </c>
      <c r="E273" s="186">
        <f>G4*16100</f>
        <v>16100</v>
      </c>
      <c r="F273" s="48"/>
      <c r="G273" s="187">
        <f>G4*2012.5</f>
        <v>2012.5</v>
      </c>
      <c r="H273" s="147" t="s">
        <v>70</v>
      </c>
    </row>
    <row r="274" spans="1:9" s="2" customFormat="1" ht="15.75" outlineLevel="1">
      <c r="A274" s="261" t="s">
        <v>675</v>
      </c>
      <c r="B274" s="265" t="s">
        <v>842</v>
      </c>
      <c r="C274" s="147"/>
      <c r="D274" s="185" t="s">
        <v>54</v>
      </c>
      <c r="E274" s="186">
        <f>G4*19722.22</f>
        <v>19722.22</v>
      </c>
      <c r="F274" s="48"/>
      <c r="G274" s="187">
        <f>G4*1972.22</f>
        <v>1972.22</v>
      </c>
      <c r="H274" s="147" t="s">
        <v>70</v>
      </c>
    </row>
    <row r="275" spans="1:9" s="2" customFormat="1" ht="15.75" outlineLevel="1">
      <c r="A275" s="261" t="s">
        <v>844</v>
      </c>
      <c r="B275" s="264" t="s">
        <v>843</v>
      </c>
      <c r="C275" s="147"/>
      <c r="D275" s="185" t="s">
        <v>54</v>
      </c>
      <c r="E275" s="186">
        <f>G4*31250</f>
        <v>31250</v>
      </c>
      <c r="F275" s="48"/>
      <c r="G275" s="187">
        <f>G4*2247.46</f>
        <v>2247.46</v>
      </c>
      <c r="H275" s="147" t="s">
        <v>70</v>
      </c>
      <c r="I275" s="513"/>
    </row>
    <row r="276" spans="1:9" s="2" customFormat="1" ht="63.75" outlineLevel="1">
      <c r="A276" s="261" t="s">
        <v>153</v>
      </c>
      <c r="B276" s="147" t="s">
        <v>622</v>
      </c>
      <c r="C276" s="147" t="s">
        <v>773</v>
      </c>
      <c r="D276" s="185" t="s">
        <v>54</v>
      </c>
      <c r="E276" s="186">
        <f>G4*11080.84</f>
        <v>11080.84</v>
      </c>
      <c r="F276" s="48"/>
      <c r="G276" s="187">
        <f>G4*1772.57</f>
        <v>1772.57</v>
      </c>
      <c r="H276" s="147" t="s">
        <v>70</v>
      </c>
    </row>
    <row r="277" spans="1:9" s="2" customFormat="1" ht="38.25" outlineLevel="1">
      <c r="A277" s="261" t="s">
        <v>161</v>
      </c>
      <c r="B277" s="147" t="s">
        <v>47</v>
      </c>
      <c r="C277" s="147" t="s">
        <v>19</v>
      </c>
      <c r="D277" s="185" t="s">
        <v>2</v>
      </c>
      <c r="E277" s="186">
        <f>G4*47050.74</f>
        <v>47050.74</v>
      </c>
      <c r="F277" s="48"/>
      <c r="G277" s="187">
        <f>G4*47050.74</f>
        <v>47050.74</v>
      </c>
      <c r="H277" s="147" t="s">
        <v>70</v>
      </c>
    </row>
    <row r="278" spans="1:9" s="2" customFormat="1" ht="76.5" outlineLevel="1">
      <c r="A278" s="261" t="s">
        <v>556</v>
      </c>
      <c r="B278" s="147" t="s">
        <v>1337</v>
      </c>
      <c r="C278" s="147" t="s">
        <v>1078</v>
      </c>
      <c r="D278" s="185" t="s">
        <v>59</v>
      </c>
      <c r="E278" s="186">
        <f>G4*19022.88</f>
        <v>19022.88</v>
      </c>
      <c r="F278" s="48"/>
      <c r="G278" s="187">
        <f>G4*2853.43</f>
        <v>2853.43</v>
      </c>
      <c r="H278" s="209" t="s">
        <v>1032</v>
      </c>
    </row>
    <row r="279" spans="1:9" s="2" customFormat="1" ht="63.75" outlineLevel="1">
      <c r="A279" s="261" t="s">
        <v>557</v>
      </c>
      <c r="B279" s="147" t="s">
        <v>1036</v>
      </c>
      <c r="C279" s="147" t="s">
        <v>1017</v>
      </c>
      <c r="D279" s="185" t="s">
        <v>59</v>
      </c>
      <c r="E279" s="186">
        <f>G4*13888.31</f>
        <v>13888.31</v>
      </c>
      <c r="F279" s="48"/>
      <c r="G279" s="187">
        <f>G4*1278.43</f>
        <v>1278.43</v>
      </c>
      <c r="H279" s="209" t="s">
        <v>1033</v>
      </c>
    </row>
    <row r="280" spans="1:9" s="2" customFormat="1" ht="38.25" outlineLevel="1">
      <c r="A280" s="261" t="s">
        <v>558</v>
      </c>
      <c r="B280" s="147" t="s">
        <v>862</v>
      </c>
      <c r="C280" s="147" t="s">
        <v>1018</v>
      </c>
      <c r="D280" s="185" t="s">
        <v>42</v>
      </c>
      <c r="E280" s="186">
        <f>G4*3003.75</f>
        <v>3003.75</v>
      </c>
      <c r="F280" s="48"/>
      <c r="G280" s="187">
        <f>G4*359.42</f>
        <v>359.42</v>
      </c>
      <c r="H280" s="209" t="s">
        <v>956</v>
      </c>
    </row>
    <row r="281" spans="1:9" s="2" customFormat="1" ht="63.75" outlineLevel="1">
      <c r="A281" s="261" t="s">
        <v>618</v>
      </c>
      <c r="B281" s="147" t="s">
        <v>938</v>
      </c>
      <c r="C281" s="147" t="s">
        <v>939</v>
      </c>
      <c r="D281" s="185" t="s">
        <v>42</v>
      </c>
      <c r="E281" s="186">
        <f>G4*4496.51</f>
        <v>4496.51</v>
      </c>
      <c r="F281" s="48"/>
      <c r="G281" s="187">
        <f>G4*13.02</f>
        <v>13.02</v>
      </c>
      <c r="H281" s="147" t="s">
        <v>70</v>
      </c>
    </row>
    <row r="282" spans="1:9" s="2" customFormat="1" ht="25.5" outlineLevel="1">
      <c r="A282" s="261" t="s">
        <v>628</v>
      </c>
      <c r="B282" s="147" t="s">
        <v>53</v>
      </c>
      <c r="C282" s="147" t="s">
        <v>132</v>
      </c>
      <c r="D282" s="185"/>
      <c r="E282" s="186"/>
      <c r="F282" s="48"/>
      <c r="G282" s="187"/>
      <c r="H282" s="147" t="s">
        <v>70</v>
      </c>
    </row>
    <row r="283" spans="1:9" s="2" customFormat="1" ht="25.5" outlineLevel="1">
      <c r="A283" s="261" t="s">
        <v>868</v>
      </c>
      <c r="B283" s="264" t="s">
        <v>867</v>
      </c>
      <c r="C283" s="147"/>
      <c r="D283" s="185" t="s">
        <v>3</v>
      </c>
      <c r="E283" s="186">
        <f>G4*7528.12</f>
        <v>7528.12</v>
      </c>
      <c r="F283" s="48"/>
      <c r="G283" s="187">
        <f>G4*828.09</f>
        <v>828.09</v>
      </c>
      <c r="H283" s="209" t="s">
        <v>692</v>
      </c>
    </row>
    <row r="284" spans="1:9" s="2" customFormat="1" ht="25.5" outlineLevel="1">
      <c r="A284" s="261" t="s">
        <v>869</v>
      </c>
      <c r="B284" s="264" t="s">
        <v>101</v>
      </c>
      <c r="C284" s="147"/>
      <c r="D284" s="185" t="s">
        <v>3</v>
      </c>
      <c r="E284" s="186">
        <f>G4*7528.12</f>
        <v>7528.12</v>
      </c>
      <c r="F284" s="48"/>
      <c r="G284" s="187">
        <f>G4*828.09</f>
        <v>828.09</v>
      </c>
      <c r="H284" s="209" t="s">
        <v>692</v>
      </c>
    </row>
    <row r="285" spans="1:9" s="2" customFormat="1" ht="76.5" outlineLevel="1">
      <c r="A285" s="261" t="s">
        <v>629</v>
      </c>
      <c r="B285" s="189" t="s">
        <v>307</v>
      </c>
      <c r="C285" s="189" t="s">
        <v>1079</v>
      </c>
      <c r="D285" s="266" t="s">
        <v>5</v>
      </c>
      <c r="E285" s="47">
        <f>G4*18178.07</f>
        <v>18178.07</v>
      </c>
      <c r="F285" s="48"/>
      <c r="G285" s="49">
        <f>G4*1272.47</f>
        <v>1272.47</v>
      </c>
      <c r="H285" s="147" t="s">
        <v>70</v>
      </c>
    </row>
    <row r="286" spans="1:9" s="2" customFormat="1" ht="76.5" outlineLevel="1">
      <c r="A286" s="261" t="s">
        <v>630</v>
      </c>
      <c r="B286" s="267" t="s">
        <v>1080</v>
      </c>
      <c r="C286" s="220" t="s">
        <v>1081</v>
      </c>
      <c r="D286" s="266" t="s">
        <v>5</v>
      </c>
      <c r="E286" s="47">
        <f>G4*58324.2</f>
        <v>58324.2</v>
      </c>
      <c r="F286" s="48"/>
      <c r="G286" s="49">
        <f>G4*8619.87</f>
        <v>8619.8700000000008</v>
      </c>
      <c r="H286" s="147" t="s">
        <v>70</v>
      </c>
    </row>
    <row r="287" spans="1:9" s="2" customFormat="1" ht="76.5" outlineLevel="1">
      <c r="A287" s="261" t="s">
        <v>641</v>
      </c>
      <c r="B287" s="267" t="s">
        <v>1082</v>
      </c>
      <c r="C287" s="220" t="s">
        <v>1083</v>
      </c>
      <c r="D287" s="266" t="s">
        <v>5</v>
      </c>
      <c r="E287" s="47">
        <f>G4*58324.2</f>
        <v>58324.2</v>
      </c>
      <c r="F287" s="48"/>
      <c r="G287" s="49">
        <f>G4*6839.87</f>
        <v>6839.87</v>
      </c>
      <c r="H287" s="147" t="s">
        <v>70</v>
      </c>
    </row>
    <row r="288" spans="1:9" s="2" customFormat="1" ht="63.75" outlineLevel="1">
      <c r="A288" s="261" t="s">
        <v>655</v>
      </c>
      <c r="B288" s="267" t="s">
        <v>1084</v>
      </c>
      <c r="C288" s="220" t="s">
        <v>1085</v>
      </c>
      <c r="D288" s="266" t="s">
        <v>5</v>
      </c>
      <c r="E288" s="47">
        <f>G4*18110.81</f>
        <v>18110.810000000001</v>
      </c>
      <c r="F288" s="48"/>
      <c r="G288" s="49">
        <f>G4*1549.94</f>
        <v>1549.94</v>
      </c>
      <c r="H288" s="147" t="s">
        <v>70</v>
      </c>
    </row>
    <row r="289" spans="1:9" s="2" customFormat="1" ht="92.45" customHeight="1" outlineLevel="1">
      <c r="A289" s="261" t="s">
        <v>676</v>
      </c>
      <c r="B289" s="268" t="s">
        <v>1086</v>
      </c>
      <c r="C289" s="220" t="s">
        <v>1087</v>
      </c>
      <c r="D289" s="221" t="s">
        <v>4</v>
      </c>
      <c r="E289" s="47">
        <f>G4*136348</f>
        <v>136348</v>
      </c>
      <c r="F289" s="48"/>
      <c r="G289" s="49">
        <f>G4*22762.64</f>
        <v>22762.639999999999</v>
      </c>
      <c r="H289" s="147" t="s">
        <v>70</v>
      </c>
    </row>
    <row r="290" spans="1:9" s="2" customFormat="1" ht="25.5" outlineLevel="1">
      <c r="A290" s="261" t="s">
        <v>863</v>
      </c>
      <c r="B290" s="147" t="s">
        <v>62</v>
      </c>
      <c r="C290" s="147" t="s">
        <v>63</v>
      </c>
      <c r="D290" s="185" t="s">
        <v>59</v>
      </c>
      <c r="E290" s="186">
        <f>G4*1813.41</f>
        <v>1813.41</v>
      </c>
      <c r="F290" s="48"/>
      <c r="G290" s="187">
        <f>G4*199.48</f>
        <v>199.48</v>
      </c>
      <c r="H290" s="147" t="s">
        <v>70</v>
      </c>
    </row>
    <row r="291" spans="1:9" s="2" customFormat="1" ht="15.75" outlineLevel="1">
      <c r="A291" s="269"/>
      <c r="B291" s="150"/>
      <c r="C291" s="150"/>
      <c r="D291" s="270"/>
      <c r="E291" s="229"/>
      <c r="F291" s="230"/>
      <c r="G291" s="231"/>
      <c r="H291" s="271"/>
    </row>
    <row r="292" spans="1:9" s="2" customFormat="1" ht="15.75" outlineLevel="1">
      <c r="A292" s="272" t="s">
        <v>1381</v>
      </c>
      <c r="B292" s="158"/>
      <c r="C292" s="158"/>
      <c r="D292" s="273"/>
      <c r="E292" s="237"/>
      <c r="F292" s="238"/>
      <c r="G292" s="239"/>
      <c r="H292" s="274"/>
    </row>
    <row r="293" spans="1:9" s="2" customFormat="1" ht="15.75" outlineLevel="1">
      <c r="A293" s="275" t="s">
        <v>1388</v>
      </c>
      <c r="B293" s="158"/>
      <c r="C293" s="158"/>
      <c r="D293" s="273"/>
      <c r="E293" s="237"/>
      <c r="F293" s="238"/>
      <c r="G293" s="239"/>
      <c r="H293" s="274"/>
    </row>
    <row r="294" spans="1:9" s="2" customFormat="1" ht="15.75" outlineLevel="1">
      <c r="A294" s="275" t="s">
        <v>1410</v>
      </c>
      <c r="B294" s="158"/>
      <c r="C294" s="158"/>
      <c r="D294" s="273"/>
      <c r="E294" s="237"/>
      <c r="F294" s="238"/>
      <c r="G294" s="239"/>
      <c r="H294" s="274"/>
    </row>
    <row r="295" spans="1:9" s="2" customFormat="1" ht="15.75" outlineLevel="1">
      <c r="A295" s="275" t="s">
        <v>1390</v>
      </c>
      <c r="B295" s="158"/>
      <c r="C295" s="158"/>
      <c r="D295" s="273"/>
      <c r="E295" s="237"/>
      <c r="F295" s="238"/>
      <c r="G295" s="239"/>
      <c r="H295" s="274"/>
    </row>
    <row r="296" spans="1:9" s="2" customFormat="1" ht="15.75" outlineLevel="1">
      <c r="A296" s="275" t="s">
        <v>1405</v>
      </c>
      <c r="B296" s="158"/>
      <c r="C296" s="158"/>
      <c r="D296" s="273"/>
      <c r="E296" s="237"/>
      <c r="F296" s="238"/>
      <c r="G296" s="239"/>
      <c r="H296" s="274"/>
    </row>
    <row r="297" spans="1:9" s="2" customFormat="1" ht="15.75" outlineLevel="1">
      <c r="A297" s="275" t="s">
        <v>1409</v>
      </c>
      <c r="B297" s="158"/>
      <c r="C297" s="158"/>
      <c r="D297" s="273"/>
      <c r="E297" s="237"/>
      <c r="F297" s="238"/>
      <c r="G297" s="239"/>
      <c r="H297" s="274"/>
    </row>
    <row r="298" spans="1:9" s="2" customFormat="1" ht="15.75" outlineLevel="1">
      <c r="A298" s="276"/>
      <c r="B298" s="167"/>
      <c r="C298" s="167"/>
      <c r="D298" s="277"/>
      <c r="E298" s="247"/>
      <c r="F298" s="248"/>
      <c r="G298" s="249"/>
      <c r="H298" s="278"/>
    </row>
    <row r="299" spans="1:9" s="2" customFormat="1" ht="40.15" customHeight="1">
      <c r="A299" s="103">
        <v>6</v>
      </c>
      <c r="B299" s="525" t="s">
        <v>1088</v>
      </c>
      <c r="C299" s="524"/>
      <c r="D299" s="279"/>
      <c r="E299" s="252"/>
      <c r="F299" s="177"/>
      <c r="G299" s="178"/>
      <c r="H299" s="179"/>
      <c r="I299" s="513"/>
    </row>
    <row r="300" spans="1:9" s="2" customFormat="1" ht="40.15" customHeight="1" outlineLevel="1">
      <c r="A300" s="516" t="s">
        <v>1423</v>
      </c>
      <c r="B300" s="516"/>
      <c r="C300" s="517"/>
      <c r="D300" s="279"/>
      <c r="E300" s="31"/>
      <c r="F300" s="32"/>
      <c r="G300" s="77"/>
      <c r="H300" s="218"/>
    </row>
    <row r="301" spans="1:9" s="2" customFormat="1" ht="39.6" customHeight="1" outlineLevel="1">
      <c r="A301" s="78" t="s">
        <v>308</v>
      </c>
      <c r="B301" s="280" t="s">
        <v>1458</v>
      </c>
      <c r="C301" s="281" t="s">
        <v>689</v>
      </c>
      <c r="D301" s="139" t="s">
        <v>59</v>
      </c>
      <c r="E301" s="282">
        <f>G4*(120.11-F301)+F301</f>
        <v>120.11</v>
      </c>
      <c r="F301" s="283">
        <v>32</v>
      </c>
      <c r="G301" s="284">
        <f>G4*12.21</f>
        <v>12.21</v>
      </c>
      <c r="H301" s="209" t="s">
        <v>619</v>
      </c>
    </row>
    <row r="302" spans="1:9" s="2" customFormat="1" ht="39.6" customHeight="1" outlineLevel="1">
      <c r="A302" s="78" t="s">
        <v>309</v>
      </c>
      <c r="B302" s="280" t="s">
        <v>1089</v>
      </c>
      <c r="C302" s="281" t="s">
        <v>689</v>
      </c>
      <c r="D302" s="139" t="s">
        <v>59</v>
      </c>
      <c r="E302" s="282">
        <f>G4*(179.66-F302)+F302</f>
        <v>179.66</v>
      </c>
      <c r="F302" s="283">
        <v>81</v>
      </c>
      <c r="G302" s="284">
        <f>G4*17.83</f>
        <v>17.829999999999998</v>
      </c>
      <c r="H302" s="209" t="s">
        <v>619</v>
      </c>
    </row>
    <row r="303" spans="1:9" s="2" customFormat="1" ht="39.6" customHeight="1" outlineLevel="1">
      <c r="A303" s="78" t="s">
        <v>310</v>
      </c>
      <c r="B303" s="147" t="s">
        <v>1090</v>
      </c>
      <c r="C303" s="281" t="s">
        <v>689</v>
      </c>
      <c r="D303" s="185" t="s">
        <v>59</v>
      </c>
      <c r="E303" s="199">
        <f>G4*(345.58-F303)+F303</f>
        <v>345.58</v>
      </c>
      <c r="F303" s="65">
        <v>252</v>
      </c>
      <c r="G303" s="200">
        <f>G4*26.9</f>
        <v>26.9</v>
      </c>
      <c r="H303" s="209" t="s">
        <v>1443</v>
      </c>
      <c r="I303" s="513"/>
    </row>
    <row r="304" spans="1:9" s="2" customFormat="1" ht="38.25" outlineLevel="1">
      <c r="A304" s="78" t="s">
        <v>311</v>
      </c>
      <c r="B304" s="280" t="s">
        <v>759</v>
      </c>
      <c r="C304" s="219" t="s">
        <v>727</v>
      </c>
      <c r="D304" s="139" t="s">
        <v>59</v>
      </c>
      <c r="E304" s="47">
        <f>G4*199.51</f>
        <v>199.51</v>
      </c>
      <c r="F304" s="48"/>
      <c r="G304" s="49">
        <f>G4*22.23</f>
        <v>22.23</v>
      </c>
      <c r="H304" s="285" t="s">
        <v>559</v>
      </c>
    </row>
    <row r="305" spans="1:9" s="2" customFormat="1" ht="38.25" outlineLevel="1">
      <c r="A305" s="78" t="s">
        <v>312</v>
      </c>
      <c r="B305" s="79" t="s">
        <v>1091</v>
      </c>
      <c r="C305" s="286" t="s">
        <v>728</v>
      </c>
      <c r="D305" s="139" t="s">
        <v>59</v>
      </c>
      <c r="E305" s="47">
        <f>G4*614.27</f>
        <v>614.27</v>
      </c>
      <c r="F305" s="48"/>
      <c r="G305" s="49">
        <f>G4*56.55</f>
        <v>56.55</v>
      </c>
      <c r="H305" s="144" t="s">
        <v>70</v>
      </c>
    </row>
    <row r="306" spans="1:9" s="2" customFormat="1" ht="38.25" outlineLevel="1">
      <c r="A306" s="78" t="s">
        <v>313</v>
      </c>
      <c r="B306" s="280" t="s">
        <v>1092</v>
      </c>
      <c r="C306" s="56" t="s">
        <v>1037</v>
      </c>
      <c r="D306" s="139" t="s">
        <v>58</v>
      </c>
      <c r="E306" s="47">
        <f>G4*913.69</f>
        <v>913.69</v>
      </c>
      <c r="F306" s="48"/>
      <c r="G306" s="49">
        <f>G4*91.37</f>
        <v>91.37</v>
      </c>
      <c r="H306" s="285" t="s">
        <v>845</v>
      </c>
    </row>
    <row r="307" spans="1:9" s="2" customFormat="1" ht="63.75" outlineLevel="1">
      <c r="A307" s="78" t="s">
        <v>314</v>
      </c>
      <c r="B307" s="56" t="s">
        <v>237</v>
      </c>
      <c r="C307" s="147" t="s">
        <v>1093</v>
      </c>
      <c r="D307" s="287" t="s">
        <v>390</v>
      </c>
      <c r="E307" s="47">
        <f>G4*696.95</f>
        <v>696.95</v>
      </c>
      <c r="F307" s="48"/>
      <c r="G307" s="49">
        <v>0</v>
      </c>
      <c r="H307" s="288" t="s">
        <v>70</v>
      </c>
    </row>
    <row r="308" spans="1:9" s="2" customFormat="1" ht="76.5" outlineLevel="1">
      <c r="A308" s="289" t="s">
        <v>677</v>
      </c>
      <c r="B308" s="191" t="s">
        <v>560</v>
      </c>
      <c r="C308" s="191" t="s">
        <v>1800</v>
      </c>
      <c r="D308" s="192"/>
      <c r="E308" s="210"/>
      <c r="F308" s="116"/>
      <c r="G308" s="146"/>
      <c r="H308" s="146"/>
      <c r="I308" s="513"/>
    </row>
    <row r="309" spans="1:9" s="2" customFormat="1" ht="15.75" outlineLevel="1">
      <c r="A309" s="215" t="s">
        <v>1785</v>
      </c>
      <c r="B309" s="264" t="s">
        <v>546</v>
      </c>
      <c r="C309" s="56"/>
      <c r="D309" s="185" t="s">
        <v>59</v>
      </c>
      <c r="E309" s="199">
        <f>G4*(142.39-F309)+F309</f>
        <v>142.38999999999999</v>
      </c>
      <c r="F309" s="65">
        <v>19.43</v>
      </c>
      <c r="G309" s="200">
        <f>G4*12.4</f>
        <v>12.4</v>
      </c>
      <c r="H309" s="209" t="s">
        <v>571</v>
      </c>
    </row>
    <row r="310" spans="1:9" s="2" customFormat="1" ht="15.75" outlineLevel="1">
      <c r="A310" s="215" t="s">
        <v>1786</v>
      </c>
      <c r="B310" s="264" t="s">
        <v>547</v>
      </c>
      <c r="C310" s="56"/>
      <c r="D310" s="185" t="s">
        <v>59</v>
      </c>
      <c r="E310" s="199">
        <f>G4*(155.09-F310)+F310</f>
        <v>155.09</v>
      </c>
      <c r="F310" s="65">
        <v>22.19</v>
      </c>
      <c r="G310" s="200">
        <f>G4*13.47</f>
        <v>13.47</v>
      </c>
      <c r="H310" s="209" t="s">
        <v>571</v>
      </c>
    </row>
    <row r="311" spans="1:9" s="2" customFormat="1" ht="15.75" outlineLevel="1">
      <c r="A311" s="215" t="s">
        <v>1787</v>
      </c>
      <c r="B311" s="264" t="s">
        <v>548</v>
      </c>
      <c r="C311" s="56"/>
      <c r="D311" s="185" t="s">
        <v>59</v>
      </c>
      <c r="E311" s="199">
        <f>G4*(173.7-F311)+F311</f>
        <v>173.7</v>
      </c>
      <c r="F311" s="65">
        <v>30.61</v>
      </c>
      <c r="G311" s="200">
        <f>G4*14.87</f>
        <v>14.87</v>
      </c>
      <c r="H311" s="209" t="s">
        <v>571</v>
      </c>
    </row>
    <row r="312" spans="1:9" s="2" customFormat="1" ht="15.75" outlineLevel="1">
      <c r="A312" s="215" t="s">
        <v>1788</v>
      </c>
      <c r="B312" s="264" t="s">
        <v>549</v>
      </c>
      <c r="C312" s="56"/>
      <c r="D312" s="185" t="s">
        <v>59</v>
      </c>
      <c r="E312" s="199">
        <f>G4*(196.07-F312)+F312</f>
        <v>196.07</v>
      </c>
      <c r="F312" s="65">
        <v>37.58</v>
      </c>
      <c r="G312" s="200">
        <f>G4*16.67</f>
        <v>16.670000000000002</v>
      </c>
      <c r="H312" s="209" t="s">
        <v>571</v>
      </c>
    </row>
    <row r="313" spans="1:9" s="2" customFormat="1" ht="15.75" outlineLevel="1">
      <c r="A313" s="215" t="s">
        <v>1789</v>
      </c>
      <c r="B313" s="264" t="s">
        <v>550</v>
      </c>
      <c r="C313" s="56"/>
      <c r="D313" s="185" t="s">
        <v>59</v>
      </c>
      <c r="E313" s="199">
        <f>G4*(228.16-F313)+F313</f>
        <v>228.16</v>
      </c>
      <c r="F313" s="65">
        <v>51.4</v>
      </c>
      <c r="G313" s="200">
        <f>G4*19.12</f>
        <v>19.12</v>
      </c>
      <c r="H313" s="209" t="s">
        <v>571</v>
      </c>
    </row>
    <row r="314" spans="1:9" s="2" customFormat="1" ht="89.25" outlineLevel="1">
      <c r="A314" s="510" t="s">
        <v>678</v>
      </c>
      <c r="B314" s="511" t="s">
        <v>1799</v>
      </c>
      <c r="C314" s="511" t="s">
        <v>1801</v>
      </c>
      <c r="D314" s="210"/>
      <c r="E314" s="210"/>
      <c r="F314" s="210"/>
      <c r="G314" s="210"/>
      <c r="H314" s="512" t="s">
        <v>1802</v>
      </c>
      <c r="I314" s="513"/>
    </row>
    <row r="315" spans="1:9" s="2" customFormat="1" ht="15.75" outlineLevel="1">
      <c r="A315" s="507" t="s">
        <v>1790</v>
      </c>
      <c r="B315" s="265" t="s">
        <v>1795</v>
      </c>
      <c r="C315" s="508"/>
      <c r="D315" s="218" t="s">
        <v>59</v>
      </c>
      <c r="E315" s="199">
        <f>G4*(124.2-F315)+F315</f>
        <v>124.2</v>
      </c>
      <c r="F315" s="65">
        <v>19.5</v>
      </c>
      <c r="G315" s="200">
        <f>G4*11.29</f>
        <v>11.29</v>
      </c>
      <c r="H315" s="211"/>
    </row>
    <row r="316" spans="1:9" s="2" customFormat="1" ht="15.75" outlineLevel="1">
      <c r="A316" s="507" t="s">
        <v>1791</v>
      </c>
      <c r="B316" s="265" t="s">
        <v>1796</v>
      </c>
      <c r="C316" s="508"/>
      <c r="D316" s="218" t="s">
        <v>59</v>
      </c>
      <c r="E316" s="199">
        <f>G4*(126.75-F316)+F316</f>
        <v>126.75</v>
      </c>
      <c r="F316" s="65">
        <v>22.03</v>
      </c>
      <c r="G316" s="200">
        <f>G4*11.53</f>
        <v>11.53</v>
      </c>
      <c r="H316" s="211"/>
    </row>
    <row r="317" spans="1:9" s="2" customFormat="1" ht="15.75" outlineLevel="1">
      <c r="A317" s="507" t="s">
        <v>1792</v>
      </c>
      <c r="B317" s="265" t="s">
        <v>1797</v>
      </c>
      <c r="C317" s="508"/>
      <c r="D317" s="218" t="s">
        <v>59</v>
      </c>
      <c r="E317" s="199">
        <f>G4*(131.64-F317)+F317</f>
        <v>131.63999999999999</v>
      </c>
      <c r="F317" s="65">
        <v>26.87</v>
      </c>
      <c r="G317" s="200">
        <f>G4*11.97</f>
        <v>11.97</v>
      </c>
      <c r="H317" s="211"/>
    </row>
    <row r="318" spans="1:9" s="2" customFormat="1" ht="15.75" outlineLevel="1">
      <c r="A318" s="507" t="s">
        <v>1793</v>
      </c>
      <c r="B318" s="265" t="s">
        <v>549</v>
      </c>
      <c r="C318" s="508"/>
      <c r="D318" s="218" t="s">
        <v>59</v>
      </c>
      <c r="E318" s="199">
        <f>G4*(141.55-F318)+F318</f>
        <v>141.55000000000001</v>
      </c>
      <c r="F318" s="65">
        <v>32.299999999999997</v>
      </c>
      <c r="G318" s="200">
        <f>G4*14.15</f>
        <v>14.15</v>
      </c>
      <c r="H318" s="211"/>
    </row>
    <row r="319" spans="1:9" s="2" customFormat="1" ht="15.75" outlineLevel="1">
      <c r="A319" s="507" t="s">
        <v>1794</v>
      </c>
      <c r="B319" s="265" t="s">
        <v>1798</v>
      </c>
      <c r="C319" s="508"/>
      <c r="D319" s="218" t="s">
        <v>59</v>
      </c>
      <c r="E319" s="199">
        <f>G4*(155.7-F319)+F319</f>
        <v>155.69999999999999</v>
      </c>
      <c r="F319" s="65">
        <v>50.73</v>
      </c>
      <c r="G319" s="200">
        <f>G4*15.57</f>
        <v>15.57</v>
      </c>
      <c r="H319" s="211"/>
    </row>
    <row r="320" spans="1:9" s="2" customFormat="1" ht="25.5" outlineLevel="1">
      <c r="A320" s="215" t="s">
        <v>315</v>
      </c>
      <c r="B320" s="56" t="s">
        <v>590</v>
      </c>
      <c r="C320" s="147" t="s">
        <v>1095</v>
      </c>
      <c r="D320" s="185" t="s">
        <v>42</v>
      </c>
      <c r="E320" s="186">
        <f>G4*67.89</f>
        <v>67.89</v>
      </c>
      <c r="F320" s="48"/>
      <c r="G320" s="187">
        <f>G4*6.01</f>
        <v>6.01</v>
      </c>
      <c r="H320" s="209" t="s">
        <v>571</v>
      </c>
      <c r="I320" s="513"/>
    </row>
    <row r="321" spans="1:9" s="2" customFormat="1" ht="38.25" outlineLevel="1">
      <c r="A321" s="215" t="s">
        <v>317</v>
      </c>
      <c r="B321" s="147" t="s">
        <v>562</v>
      </c>
      <c r="C321" s="147" t="s">
        <v>561</v>
      </c>
      <c r="D321" s="185" t="s">
        <v>48</v>
      </c>
      <c r="E321" s="186">
        <f>G4*176.62</f>
        <v>176.62</v>
      </c>
      <c r="F321" s="48"/>
      <c r="G321" s="187">
        <f>G4*9.91</f>
        <v>9.91</v>
      </c>
      <c r="H321" s="209" t="s">
        <v>571</v>
      </c>
    </row>
    <row r="322" spans="1:9" s="2" customFormat="1" ht="25.5" outlineLevel="1">
      <c r="A322" s="215" t="s">
        <v>318</v>
      </c>
      <c r="B322" s="56" t="s">
        <v>768</v>
      </c>
      <c r="C322" s="147" t="s">
        <v>1096</v>
      </c>
      <c r="D322" s="185" t="s">
        <v>42</v>
      </c>
      <c r="E322" s="186">
        <f>G4*101.82</f>
        <v>101.82</v>
      </c>
      <c r="F322" s="48"/>
      <c r="G322" s="187">
        <f>G4*9.37</f>
        <v>9.3699999999999992</v>
      </c>
      <c r="H322" s="209" t="s">
        <v>571</v>
      </c>
    </row>
    <row r="323" spans="1:9" s="2" customFormat="1" ht="25.5" outlineLevel="1">
      <c r="A323" s="290" t="s">
        <v>319</v>
      </c>
      <c r="B323" s="56" t="s">
        <v>1097</v>
      </c>
      <c r="C323" s="56" t="s">
        <v>1098</v>
      </c>
      <c r="D323" s="218" t="s">
        <v>42</v>
      </c>
      <c r="E323" s="186">
        <f>G4*18328.29</f>
        <v>18328.29</v>
      </c>
      <c r="F323" s="48"/>
      <c r="G323" s="187">
        <f>G4*1687.51</f>
        <v>1687.51</v>
      </c>
      <c r="H323" s="209" t="s">
        <v>571</v>
      </c>
    </row>
    <row r="324" spans="1:9" s="2" customFormat="1" ht="25.5" outlineLevel="1">
      <c r="A324" s="290" t="s">
        <v>320</v>
      </c>
      <c r="B324" s="56" t="s">
        <v>1099</v>
      </c>
      <c r="C324" s="56" t="s">
        <v>1100</v>
      </c>
      <c r="D324" s="218" t="s">
        <v>42</v>
      </c>
      <c r="E324" s="186">
        <f>G4*20539.64</f>
        <v>20539.64</v>
      </c>
      <c r="F324" s="48"/>
      <c r="G324" s="187">
        <f>G4*1891.16</f>
        <v>1891.16</v>
      </c>
      <c r="H324" s="209" t="s">
        <v>571</v>
      </c>
    </row>
    <row r="325" spans="1:9" s="2" customFormat="1" ht="25.5" outlineLevel="1">
      <c r="A325" s="290" t="s">
        <v>321</v>
      </c>
      <c r="B325" s="56" t="s">
        <v>1101</v>
      </c>
      <c r="C325" s="56" t="s">
        <v>551</v>
      </c>
      <c r="D325" s="218" t="s">
        <v>42</v>
      </c>
      <c r="E325" s="186">
        <f>G4*1939.22</f>
        <v>1939.22</v>
      </c>
      <c r="F325" s="48"/>
      <c r="G325" s="187">
        <f>G4*178.43</f>
        <v>178.43</v>
      </c>
      <c r="H325" s="209" t="s">
        <v>571</v>
      </c>
    </row>
    <row r="326" spans="1:9" s="2" customFormat="1" ht="25.5" outlineLevel="1">
      <c r="A326" s="290" t="s">
        <v>322</v>
      </c>
      <c r="B326" s="56" t="s">
        <v>1102</v>
      </c>
      <c r="C326" s="56" t="s">
        <v>551</v>
      </c>
      <c r="D326" s="218" t="s">
        <v>42</v>
      </c>
      <c r="E326" s="186">
        <f>G4*2245.6</f>
        <v>2245.6</v>
      </c>
      <c r="F326" s="48"/>
      <c r="G326" s="187">
        <f>G4*206.66</f>
        <v>206.66</v>
      </c>
      <c r="H326" s="209" t="s">
        <v>571</v>
      </c>
    </row>
    <row r="327" spans="1:9" s="2" customFormat="1" ht="38.25" outlineLevel="1">
      <c r="A327" s="215" t="s">
        <v>323</v>
      </c>
      <c r="B327" s="147" t="s">
        <v>1103</v>
      </c>
      <c r="C327" s="147" t="s">
        <v>623</v>
      </c>
      <c r="D327" s="185" t="s">
        <v>59</v>
      </c>
      <c r="E327" s="186">
        <f>G4*42.84</f>
        <v>42.84</v>
      </c>
      <c r="F327" s="48"/>
      <c r="G327" s="187">
        <f>G4*9.67</f>
        <v>9.67</v>
      </c>
      <c r="H327" s="147" t="s">
        <v>70</v>
      </c>
    </row>
    <row r="328" spans="1:9" s="2" customFormat="1" ht="26.45" customHeight="1" outlineLevel="1">
      <c r="A328" s="215" t="s">
        <v>324</v>
      </c>
      <c r="B328" s="147" t="s">
        <v>1104</v>
      </c>
      <c r="C328" s="147" t="s">
        <v>623</v>
      </c>
      <c r="D328" s="185" t="s">
        <v>59</v>
      </c>
      <c r="E328" s="186">
        <f>G4*97.54</f>
        <v>97.54</v>
      </c>
      <c r="F328" s="48"/>
      <c r="G328" s="187">
        <f>G4*9.67</f>
        <v>9.67</v>
      </c>
      <c r="H328" s="147" t="s">
        <v>70</v>
      </c>
    </row>
    <row r="329" spans="1:9" s="2" customFormat="1" ht="39.6" customHeight="1" outlineLevel="1">
      <c r="A329" s="215" t="s">
        <v>325</v>
      </c>
      <c r="B329" s="147" t="s">
        <v>1105</v>
      </c>
      <c r="C329" s="147" t="s">
        <v>624</v>
      </c>
      <c r="D329" s="185" t="s">
        <v>59</v>
      </c>
      <c r="E329" s="186">
        <f>G4*163.36</f>
        <v>163.36000000000001</v>
      </c>
      <c r="F329" s="48"/>
      <c r="G329" s="187">
        <f>G4*9.67</f>
        <v>9.67</v>
      </c>
      <c r="H329" s="147" t="s">
        <v>70</v>
      </c>
    </row>
    <row r="330" spans="1:9" s="2" customFormat="1" ht="51" outlineLevel="1">
      <c r="A330" s="215" t="s">
        <v>326</v>
      </c>
      <c r="B330" s="147" t="s">
        <v>1106</v>
      </c>
      <c r="C330" s="147" t="s">
        <v>174</v>
      </c>
      <c r="D330" s="291" t="s">
        <v>59</v>
      </c>
      <c r="E330" s="292">
        <f>G4*520.42</f>
        <v>520.41999999999996</v>
      </c>
      <c r="F330" s="48"/>
      <c r="G330" s="49">
        <f>G4*52.05</f>
        <v>52.05</v>
      </c>
      <c r="H330" s="144" t="s">
        <v>70</v>
      </c>
    </row>
    <row r="331" spans="1:9" s="2" customFormat="1" ht="38.25" outlineLevel="1">
      <c r="A331" s="215" t="s">
        <v>327</v>
      </c>
      <c r="B331" s="147" t="s">
        <v>1107</v>
      </c>
      <c r="C331" s="147" t="s">
        <v>625</v>
      </c>
      <c r="D331" s="185" t="s">
        <v>59</v>
      </c>
      <c r="E331" s="186">
        <f>G4*148.98</f>
        <v>148.97999999999999</v>
      </c>
      <c r="F331" s="48"/>
      <c r="G331" s="187">
        <f>G4*14.77</f>
        <v>14.77</v>
      </c>
      <c r="H331" s="147" t="s">
        <v>70</v>
      </c>
    </row>
    <row r="332" spans="1:9" s="2" customFormat="1" ht="63.75" outlineLevel="1">
      <c r="A332" s="215" t="s">
        <v>329</v>
      </c>
      <c r="B332" s="268" t="s">
        <v>1108</v>
      </c>
      <c r="C332" s="220" t="s">
        <v>1109</v>
      </c>
      <c r="D332" s="221" t="s">
        <v>49</v>
      </c>
      <c r="E332" s="186">
        <f>G4*147.67</f>
        <v>147.66999999999999</v>
      </c>
      <c r="F332" s="48"/>
      <c r="G332" s="49">
        <f>G4*7.93</f>
        <v>7.93</v>
      </c>
      <c r="H332" s="66" t="s">
        <v>509</v>
      </c>
    </row>
    <row r="333" spans="1:9" s="2" customFormat="1" ht="63.75" outlineLevel="1">
      <c r="A333" s="215" t="s">
        <v>331</v>
      </c>
      <c r="B333" s="220" t="s">
        <v>1110</v>
      </c>
      <c r="C333" s="220" t="s">
        <v>1111</v>
      </c>
      <c r="D333" s="221" t="s">
        <v>49</v>
      </c>
      <c r="E333" s="186">
        <f>G4*231.66</f>
        <v>231.66</v>
      </c>
      <c r="F333" s="48"/>
      <c r="G333" s="49">
        <f>G4*7.93</f>
        <v>7.93</v>
      </c>
      <c r="H333" s="66" t="s">
        <v>509</v>
      </c>
    </row>
    <row r="334" spans="1:9" s="2" customFormat="1" ht="25.5" outlineLevel="1">
      <c r="A334" s="215" t="s">
        <v>333</v>
      </c>
      <c r="B334" s="147" t="s">
        <v>216</v>
      </c>
      <c r="C334" s="147" t="s">
        <v>1112</v>
      </c>
      <c r="D334" s="291" t="s">
        <v>1</v>
      </c>
      <c r="E334" s="292">
        <f>G4*570.63</f>
        <v>570.63</v>
      </c>
      <c r="F334" s="48"/>
      <c r="G334" s="49">
        <v>0</v>
      </c>
      <c r="H334" s="66" t="s">
        <v>509</v>
      </c>
    </row>
    <row r="335" spans="1:9" s="2" customFormat="1" ht="76.5" outlineLevel="1">
      <c r="A335" s="293" t="s">
        <v>335</v>
      </c>
      <c r="B335" s="294" t="s">
        <v>1113</v>
      </c>
      <c r="C335" s="295" t="s">
        <v>304</v>
      </c>
      <c r="D335" s="296" t="s">
        <v>48</v>
      </c>
      <c r="E335" s="297">
        <f>G4*319.39</f>
        <v>319.39</v>
      </c>
      <c r="F335" s="48"/>
      <c r="G335" s="298">
        <f>G4*19.83</f>
        <v>19.829999999999998</v>
      </c>
      <c r="H335" s="299" t="s">
        <v>422</v>
      </c>
    </row>
    <row r="336" spans="1:9" s="2" customFormat="1" ht="40.15" customHeight="1" outlineLevel="1">
      <c r="A336" s="516" t="s">
        <v>1424</v>
      </c>
      <c r="B336" s="516"/>
      <c r="C336" s="517"/>
      <c r="D336" s="180"/>
      <c r="E336" s="75"/>
      <c r="F336" s="76"/>
      <c r="G336" s="77"/>
      <c r="H336" s="300" t="s">
        <v>70</v>
      </c>
      <c r="I336" s="513"/>
    </row>
    <row r="337" spans="1:9" s="2" customFormat="1" ht="63.75" outlineLevel="1">
      <c r="A337" s="301" t="s">
        <v>337</v>
      </c>
      <c r="B337" s="302" t="s">
        <v>1030</v>
      </c>
      <c r="C337" s="302" t="s">
        <v>1114</v>
      </c>
      <c r="D337" s="303"/>
      <c r="E337" s="304"/>
      <c r="F337" s="305"/>
      <c r="G337" s="306"/>
      <c r="H337" s="300" t="s">
        <v>70</v>
      </c>
    </row>
    <row r="338" spans="1:9" s="2" customFormat="1" ht="15.75" outlineLevel="1">
      <c r="A338" s="78" t="s">
        <v>564</v>
      </c>
      <c r="B338" s="307" t="s">
        <v>1115</v>
      </c>
      <c r="C338" s="189"/>
      <c r="D338" s="139" t="s">
        <v>42</v>
      </c>
      <c r="E338" s="47">
        <f>G4*13562.88</f>
        <v>13562.88</v>
      </c>
      <c r="F338" s="48"/>
      <c r="G338" s="49">
        <f>G4*1432.24</f>
        <v>1432.24</v>
      </c>
      <c r="H338" s="300" t="s">
        <v>70</v>
      </c>
    </row>
    <row r="339" spans="1:9" s="2" customFormat="1" ht="15.75" outlineLevel="1">
      <c r="A339" s="78" t="s">
        <v>565</v>
      </c>
      <c r="B339" s="307" t="s">
        <v>20</v>
      </c>
      <c r="C339" s="189"/>
      <c r="D339" s="139" t="s">
        <v>42</v>
      </c>
      <c r="E339" s="47">
        <f>G4*14125.37</f>
        <v>14125.37</v>
      </c>
      <c r="F339" s="48"/>
      <c r="G339" s="49">
        <f>G4*1067.85</f>
        <v>1067.8499999999999</v>
      </c>
      <c r="H339" s="300" t="s">
        <v>70</v>
      </c>
    </row>
    <row r="340" spans="1:9" s="2" customFormat="1" ht="15.75" outlineLevel="1">
      <c r="A340" s="78" t="s">
        <v>566</v>
      </c>
      <c r="B340" s="307" t="s">
        <v>21</v>
      </c>
      <c r="C340" s="189"/>
      <c r="D340" s="139" t="s">
        <v>42</v>
      </c>
      <c r="E340" s="47">
        <f>G4*25026.68</f>
        <v>25026.68</v>
      </c>
      <c r="F340" s="48"/>
      <c r="G340" s="49">
        <f>G4*1574.04</f>
        <v>1574.04</v>
      </c>
      <c r="H340" s="300" t="s">
        <v>70</v>
      </c>
    </row>
    <row r="341" spans="1:9" s="2" customFormat="1" ht="15.75" outlineLevel="1">
      <c r="A341" s="78" t="s">
        <v>567</v>
      </c>
      <c r="B341" s="307" t="s">
        <v>22</v>
      </c>
      <c r="C341" s="189"/>
      <c r="D341" s="139" t="s">
        <v>42</v>
      </c>
      <c r="E341" s="47">
        <f>G4*32649.65</f>
        <v>32649.65</v>
      </c>
      <c r="F341" s="48"/>
      <c r="G341" s="49">
        <f>G4*1632.48</f>
        <v>1632.48</v>
      </c>
      <c r="H341" s="300" t="s">
        <v>70</v>
      </c>
    </row>
    <row r="342" spans="1:9" s="2" customFormat="1" ht="63.75" outlineLevel="1">
      <c r="A342" s="78" t="s">
        <v>338</v>
      </c>
      <c r="B342" s="147" t="s">
        <v>1116</v>
      </c>
      <c r="C342" s="147" t="s">
        <v>1117</v>
      </c>
      <c r="D342" s="185" t="s">
        <v>42</v>
      </c>
      <c r="E342" s="186">
        <f>G4*3635.61</f>
        <v>3635.61</v>
      </c>
      <c r="F342" s="48"/>
      <c r="G342" s="187">
        <f>G4*399.92</f>
        <v>399.92</v>
      </c>
      <c r="H342" s="66" t="s">
        <v>510</v>
      </c>
      <c r="I342" s="513"/>
    </row>
    <row r="343" spans="1:9" s="2" customFormat="1" ht="38.25" outlineLevel="1">
      <c r="A343" s="78" t="s">
        <v>339</v>
      </c>
      <c r="B343" s="147" t="s">
        <v>250</v>
      </c>
      <c r="C343" s="147" t="s">
        <v>1338</v>
      </c>
      <c r="D343" s="185" t="s">
        <v>42</v>
      </c>
      <c r="E343" s="292">
        <f>G4*479.7</f>
        <v>479.7</v>
      </c>
      <c r="F343" s="48"/>
      <c r="G343" s="49">
        <v>0</v>
      </c>
      <c r="H343" s="66" t="s">
        <v>510</v>
      </c>
    </row>
    <row r="344" spans="1:9" s="2" customFormat="1" ht="51" outlineLevel="1">
      <c r="A344" s="78" t="s">
        <v>902</v>
      </c>
      <c r="B344" s="147" t="s">
        <v>885</v>
      </c>
      <c r="C344" s="147" t="s">
        <v>1118</v>
      </c>
      <c r="D344" s="185" t="s">
        <v>42</v>
      </c>
      <c r="E344" s="308">
        <f>G4*(2324.91-F344)+F344</f>
        <v>2324.91</v>
      </c>
      <c r="F344" s="65">
        <v>1568.18</v>
      </c>
      <c r="G344" s="284">
        <f>G4*230.39</f>
        <v>230.39</v>
      </c>
      <c r="H344" s="66" t="s">
        <v>920</v>
      </c>
    </row>
    <row r="345" spans="1:9" s="2" customFormat="1" ht="89.25" outlineLevel="1">
      <c r="A345" s="289" t="s">
        <v>903</v>
      </c>
      <c r="B345" s="309" t="s">
        <v>886</v>
      </c>
      <c r="C345" s="309" t="s">
        <v>1119</v>
      </c>
      <c r="D345" s="192"/>
      <c r="E345" s="310"/>
      <c r="F345" s="116"/>
      <c r="G345" s="146"/>
      <c r="H345" s="56" t="s">
        <v>70</v>
      </c>
      <c r="I345" s="513"/>
    </row>
    <row r="346" spans="1:9" s="2" customFormat="1" ht="25.5" outlineLevel="1">
      <c r="A346" s="78" t="s">
        <v>904</v>
      </c>
      <c r="B346" s="264" t="s">
        <v>1120</v>
      </c>
      <c r="C346" s="147"/>
      <c r="D346" s="291" t="s">
        <v>42</v>
      </c>
      <c r="E346" s="308">
        <f>G4*(5635.98-F346)+F346</f>
        <v>5635.98</v>
      </c>
      <c r="F346" s="65">
        <v>4549.05</v>
      </c>
      <c r="G346" s="284">
        <f>G4*558.52</f>
        <v>558.52</v>
      </c>
      <c r="H346" s="66" t="s">
        <v>920</v>
      </c>
    </row>
    <row r="347" spans="1:9" s="2" customFormat="1" ht="25.5" outlineLevel="1">
      <c r="A347" s="78" t="s">
        <v>905</v>
      </c>
      <c r="B347" s="264" t="s">
        <v>1121</v>
      </c>
      <c r="C347" s="147"/>
      <c r="D347" s="291" t="s">
        <v>42</v>
      </c>
      <c r="E347" s="308">
        <f>G4*(6342.13-F347)+F347</f>
        <v>6342.13</v>
      </c>
      <c r="F347" s="65">
        <v>5263.9500000000007</v>
      </c>
      <c r="G347" s="284">
        <f>G4*576.56</f>
        <v>576.55999999999995</v>
      </c>
      <c r="H347" s="66" t="s">
        <v>920</v>
      </c>
    </row>
    <row r="348" spans="1:9" s="2" customFormat="1" ht="25.5" outlineLevel="1">
      <c r="A348" s="78" t="s">
        <v>906</v>
      </c>
      <c r="B348" s="264" t="s">
        <v>1122</v>
      </c>
      <c r="C348" s="147"/>
      <c r="D348" s="291" t="s">
        <v>42</v>
      </c>
      <c r="E348" s="308">
        <f>G4*(7186.66-F348)+F348</f>
        <v>7186.66</v>
      </c>
      <c r="F348" s="65">
        <v>6061.59</v>
      </c>
      <c r="G348" s="284">
        <f>G4*653.33</f>
        <v>653.33000000000004</v>
      </c>
      <c r="H348" s="66" t="s">
        <v>920</v>
      </c>
    </row>
    <row r="349" spans="1:9" s="2" customFormat="1" ht="25.5" outlineLevel="1">
      <c r="A349" s="78" t="s">
        <v>907</v>
      </c>
      <c r="B349" s="264" t="s">
        <v>1123</v>
      </c>
      <c r="C349" s="147"/>
      <c r="D349" s="291" t="s">
        <v>42</v>
      </c>
      <c r="E349" s="308">
        <f>G4*(9107.65-F349)+F349</f>
        <v>9107.65</v>
      </c>
      <c r="F349" s="65">
        <v>7875.92</v>
      </c>
      <c r="G349" s="284">
        <f>G4*827.97</f>
        <v>827.97</v>
      </c>
      <c r="H349" s="66" t="s">
        <v>920</v>
      </c>
    </row>
    <row r="350" spans="1:9" s="2" customFormat="1" ht="25.5" outlineLevel="1">
      <c r="A350" s="78" t="s">
        <v>908</v>
      </c>
      <c r="B350" s="264" t="s">
        <v>1124</v>
      </c>
      <c r="C350" s="147"/>
      <c r="D350" s="291" t="s">
        <v>42</v>
      </c>
      <c r="E350" s="308">
        <f>G4*(10776.13-F350)+F350</f>
        <v>10776.13</v>
      </c>
      <c r="F350" s="65">
        <v>9545.1299999999992</v>
      </c>
      <c r="G350" s="284">
        <f>G4*889.77</f>
        <v>889.77</v>
      </c>
      <c r="H350" s="66" t="s">
        <v>920</v>
      </c>
    </row>
    <row r="351" spans="1:9" s="2" customFormat="1" ht="25.5" outlineLevel="1">
      <c r="A351" s="78" t="s">
        <v>909</v>
      </c>
      <c r="B351" s="264" t="s">
        <v>1125</v>
      </c>
      <c r="C351" s="147"/>
      <c r="D351" s="291" t="s">
        <v>42</v>
      </c>
      <c r="E351" s="308">
        <f>G4*(13461.28-F351)+F351</f>
        <v>13461.28</v>
      </c>
      <c r="F351" s="65">
        <v>12223.25</v>
      </c>
      <c r="G351" s="284">
        <f>G4*997.13</f>
        <v>997.13</v>
      </c>
      <c r="H351" s="66" t="s">
        <v>920</v>
      </c>
    </row>
    <row r="352" spans="1:9" s="2" customFormat="1" ht="51" outlineLevel="1">
      <c r="A352" s="78" t="s">
        <v>340</v>
      </c>
      <c r="B352" s="56" t="s">
        <v>1126</v>
      </c>
      <c r="C352" s="189" t="s">
        <v>261</v>
      </c>
      <c r="D352" s="139" t="s">
        <v>57</v>
      </c>
      <c r="E352" s="140">
        <f>G4*6007.5</f>
        <v>6007.5</v>
      </c>
      <c r="F352" s="48"/>
      <c r="G352" s="141">
        <f>G4*660.83</f>
        <v>660.83</v>
      </c>
      <c r="H352" s="80" t="s">
        <v>729</v>
      </c>
    </row>
    <row r="353" spans="1:9" s="2" customFormat="1" ht="89.25" outlineLevel="1">
      <c r="A353" s="78" t="s">
        <v>341</v>
      </c>
      <c r="B353" s="147" t="s">
        <v>1127</v>
      </c>
      <c r="C353" s="56" t="s">
        <v>1128</v>
      </c>
      <c r="D353" s="185" t="s">
        <v>283</v>
      </c>
      <c r="E353" s="186">
        <f>G4*1255.94</f>
        <v>1255.94</v>
      </c>
      <c r="F353" s="48"/>
      <c r="G353" s="187">
        <f>G4*138.15</f>
        <v>138.15</v>
      </c>
      <c r="H353" s="66" t="s">
        <v>729</v>
      </c>
    </row>
    <row r="354" spans="1:9" s="2" customFormat="1" ht="63.75" outlineLevel="1">
      <c r="A354" s="78" t="s">
        <v>342</v>
      </c>
      <c r="B354" s="189" t="s">
        <v>572</v>
      </c>
      <c r="C354" s="189" t="s">
        <v>1129</v>
      </c>
      <c r="D354" s="139" t="s">
        <v>283</v>
      </c>
      <c r="E354" s="47">
        <f>G4*486.25</f>
        <v>486.25</v>
      </c>
      <c r="F354" s="48"/>
      <c r="G354" s="49">
        <v>0</v>
      </c>
      <c r="H354" s="66" t="s">
        <v>573</v>
      </c>
    </row>
    <row r="355" spans="1:9" s="2" customFormat="1" ht="25.5" outlineLevel="1">
      <c r="A355" s="78" t="s">
        <v>345</v>
      </c>
      <c r="B355" s="147" t="s">
        <v>249</v>
      </c>
      <c r="C355" s="189" t="s">
        <v>866</v>
      </c>
      <c r="D355" s="291" t="s">
        <v>1</v>
      </c>
      <c r="E355" s="292">
        <f>G4*625.8</f>
        <v>625.79999999999995</v>
      </c>
      <c r="F355" s="48"/>
      <c r="G355" s="49">
        <v>0</v>
      </c>
      <c r="H355" s="66" t="s">
        <v>510</v>
      </c>
    </row>
    <row r="356" spans="1:9" s="2" customFormat="1" ht="63.75" outlineLevel="1">
      <c r="A356" s="311" t="s">
        <v>346</v>
      </c>
      <c r="B356" s="191" t="s">
        <v>1133</v>
      </c>
      <c r="C356" s="191" t="s">
        <v>1010</v>
      </c>
      <c r="D356" s="192"/>
      <c r="E356" s="210"/>
      <c r="F356" s="116"/>
      <c r="G356" s="146"/>
      <c r="H356" s="56" t="s">
        <v>70</v>
      </c>
      <c r="I356" s="513"/>
    </row>
    <row r="357" spans="1:9" s="2" customFormat="1" ht="15.75" outlineLevel="1">
      <c r="A357" s="45" t="s">
        <v>568</v>
      </c>
      <c r="B357" s="265" t="s">
        <v>1132</v>
      </c>
      <c r="C357" s="56"/>
      <c r="D357" s="218" t="s">
        <v>42</v>
      </c>
      <c r="E357" s="186">
        <f>G4*70804.4</f>
        <v>70804.399999999994</v>
      </c>
      <c r="F357" s="48"/>
      <c r="G357" s="187">
        <f>G4*13452.84</f>
        <v>13452.84</v>
      </c>
      <c r="H357" s="56" t="s">
        <v>70</v>
      </c>
    </row>
    <row r="358" spans="1:9" s="2" customFormat="1" ht="15.75" outlineLevel="1">
      <c r="A358" s="45" t="s">
        <v>569</v>
      </c>
      <c r="B358" s="265" t="s">
        <v>1130</v>
      </c>
      <c r="C358" s="56"/>
      <c r="D358" s="218" t="s">
        <v>42</v>
      </c>
      <c r="E358" s="186">
        <f>G4*169495.61</f>
        <v>169495.61</v>
      </c>
      <c r="F358" s="48"/>
      <c r="G358" s="187">
        <f>G4*27119.3</f>
        <v>27119.3</v>
      </c>
      <c r="H358" s="56" t="s">
        <v>70</v>
      </c>
    </row>
    <row r="359" spans="1:9" s="2" customFormat="1" ht="15.75" outlineLevel="1">
      <c r="A359" s="45" t="s">
        <v>570</v>
      </c>
      <c r="B359" s="265" t="s">
        <v>1131</v>
      </c>
      <c r="C359" s="56"/>
      <c r="D359" s="218" t="s">
        <v>42</v>
      </c>
      <c r="E359" s="186">
        <f>G4*296139.71</f>
        <v>296139.71000000002</v>
      </c>
      <c r="F359" s="48"/>
      <c r="G359" s="187">
        <f>G4*44420.96</f>
        <v>44420.959999999999</v>
      </c>
      <c r="H359" s="56" t="s">
        <v>70</v>
      </c>
    </row>
    <row r="360" spans="1:9" s="2" customFormat="1" ht="38.25" outlineLevel="1">
      <c r="A360" s="183" t="s">
        <v>347</v>
      </c>
      <c r="B360" s="147" t="s">
        <v>1806</v>
      </c>
      <c r="C360" s="147" t="s">
        <v>1805</v>
      </c>
      <c r="D360" s="185" t="s">
        <v>42</v>
      </c>
      <c r="E360" s="186">
        <f>G4*798.68</f>
        <v>798.68</v>
      </c>
      <c r="F360" s="48"/>
      <c r="G360" s="187">
        <f>G4*87.85</f>
        <v>87.85</v>
      </c>
      <c r="H360" s="209" t="s">
        <v>819</v>
      </c>
    </row>
    <row r="361" spans="1:9" s="2" customFormat="1" ht="38.25" outlineLevel="1">
      <c r="A361" s="183" t="s">
        <v>348</v>
      </c>
      <c r="B361" s="147" t="s">
        <v>1134</v>
      </c>
      <c r="C361" s="147" t="s">
        <v>92</v>
      </c>
      <c r="D361" s="185" t="s">
        <v>42</v>
      </c>
      <c r="E361" s="186">
        <f>G4*1559.97</f>
        <v>1559.97</v>
      </c>
      <c r="F361" s="48"/>
      <c r="G361" s="187">
        <f>G4*171.6</f>
        <v>171.6</v>
      </c>
      <c r="H361" s="209" t="s">
        <v>819</v>
      </c>
    </row>
    <row r="362" spans="1:9" s="2" customFormat="1" ht="25.5" outlineLevel="1">
      <c r="A362" s="183" t="s">
        <v>349</v>
      </c>
      <c r="B362" s="56" t="s">
        <v>1135</v>
      </c>
      <c r="C362" s="56" t="s">
        <v>514</v>
      </c>
      <c r="D362" s="218" t="s">
        <v>42</v>
      </c>
      <c r="E362" s="186">
        <f>G4*1920.36</f>
        <v>1920.36</v>
      </c>
      <c r="F362" s="48"/>
      <c r="G362" s="187">
        <f>G4*211.24</f>
        <v>211.24</v>
      </c>
      <c r="H362" s="209" t="s">
        <v>70</v>
      </c>
    </row>
    <row r="363" spans="1:9" s="2" customFormat="1" ht="25.5" outlineLevel="1">
      <c r="A363" s="183" t="s">
        <v>350</v>
      </c>
      <c r="B363" s="56" t="s">
        <v>1136</v>
      </c>
      <c r="C363" s="56" t="s">
        <v>514</v>
      </c>
      <c r="D363" s="218" t="s">
        <v>42</v>
      </c>
      <c r="E363" s="186">
        <f>G4*2932.65</f>
        <v>2932.65</v>
      </c>
      <c r="F363" s="48"/>
      <c r="G363" s="187">
        <f>G4*322.59</f>
        <v>322.58999999999997</v>
      </c>
      <c r="H363" s="209" t="s">
        <v>70</v>
      </c>
    </row>
    <row r="364" spans="1:9" s="2" customFormat="1" ht="25.5" outlineLevel="1">
      <c r="A364" s="312" t="s">
        <v>351</v>
      </c>
      <c r="B364" s="56" t="s">
        <v>515</v>
      </c>
      <c r="C364" s="56" t="s">
        <v>1137</v>
      </c>
      <c r="D364" s="218" t="s">
        <v>42</v>
      </c>
      <c r="E364" s="186">
        <f>G4*211.05</f>
        <v>211.05</v>
      </c>
      <c r="F364" s="48"/>
      <c r="G364" s="187">
        <f>G4*19.44</f>
        <v>19.440000000000001</v>
      </c>
      <c r="H364" s="209" t="s">
        <v>70</v>
      </c>
    </row>
    <row r="365" spans="1:9" s="2" customFormat="1" ht="40.15" customHeight="1" outlineLevel="1">
      <c r="A365" s="516" t="s">
        <v>1425</v>
      </c>
      <c r="B365" s="516"/>
      <c r="C365" s="517"/>
      <c r="D365" s="180"/>
      <c r="E365" s="75"/>
      <c r="F365" s="76"/>
      <c r="G365" s="77"/>
      <c r="H365" s="209" t="s">
        <v>70</v>
      </c>
      <c r="I365" s="513"/>
    </row>
    <row r="366" spans="1:9" s="2" customFormat="1" ht="89.25" outlineLevel="1">
      <c r="A366" s="127" t="s">
        <v>354</v>
      </c>
      <c r="B366" s="56" t="s">
        <v>1138</v>
      </c>
      <c r="C366" s="313" t="s">
        <v>1339</v>
      </c>
      <c r="D366" s="139" t="s">
        <v>1</v>
      </c>
      <c r="E366" s="314">
        <f>G4*619.39</f>
        <v>619.39</v>
      </c>
      <c r="F366" s="48"/>
      <c r="G366" s="315">
        <f>G4*61.94</f>
        <v>61.94</v>
      </c>
      <c r="H366" s="80" t="s">
        <v>420</v>
      </c>
    </row>
    <row r="367" spans="1:9" s="2" customFormat="1" ht="76.5" outlineLevel="1">
      <c r="A367" s="127" t="s">
        <v>355</v>
      </c>
      <c r="B367" s="56" t="s">
        <v>1139</v>
      </c>
      <c r="C367" s="313" t="s">
        <v>1340</v>
      </c>
      <c r="D367" s="139" t="s">
        <v>1</v>
      </c>
      <c r="E367" s="314">
        <f>G4*1119.57</f>
        <v>1119.57</v>
      </c>
      <c r="F367" s="48"/>
      <c r="G367" s="315">
        <f>G4*111.95</f>
        <v>111.95</v>
      </c>
      <c r="H367" s="80" t="s">
        <v>393</v>
      </c>
    </row>
    <row r="368" spans="1:9" s="2" customFormat="1" ht="79.150000000000006" customHeight="1" outlineLevel="1">
      <c r="A368" s="127" t="s">
        <v>911</v>
      </c>
      <c r="B368" s="56" t="s">
        <v>1140</v>
      </c>
      <c r="C368" s="313" t="s">
        <v>1341</v>
      </c>
      <c r="D368" s="139" t="s">
        <v>1</v>
      </c>
      <c r="E368" s="314">
        <f>G4*1404.73</f>
        <v>1404.73</v>
      </c>
      <c r="F368" s="48"/>
      <c r="G368" s="315">
        <f>G4*140.47</f>
        <v>140.47</v>
      </c>
      <c r="H368" s="80" t="s">
        <v>393</v>
      </c>
    </row>
    <row r="369" spans="1:8" s="2" customFormat="1" ht="89.25" outlineLevel="1">
      <c r="A369" s="127" t="s">
        <v>356</v>
      </c>
      <c r="B369" s="56" t="s">
        <v>1141</v>
      </c>
      <c r="C369" s="313" t="s">
        <v>1342</v>
      </c>
      <c r="D369" s="139" t="s">
        <v>1</v>
      </c>
      <c r="E369" s="314">
        <f>G4*655.59</f>
        <v>655.59</v>
      </c>
      <c r="F369" s="48"/>
      <c r="G369" s="315">
        <f>G4*65.56</f>
        <v>65.56</v>
      </c>
      <c r="H369" s="80" t="s">
        <v>394</v>
      </c>
    </row>
    <row r="370" spans="1:8" s="2" customFormat="1" ht="76.5" outlineLevel="1">
      <c r="A370" s="127" t="s">
        <v>357</v>
      </c>
      <c r="B370" s="56" t="s">
        <v>1142</v>
      </c>
      <c r="C370" s="313" t="s">
        <v>1343</v>
      </c>
      <c r="D370" s="139" t="s">
        <v>1</v>
      </c>
      <c r="E370" s="314">
        <f>G4*1155.77</f>
        <v>1155.77</v>
      </c>
      <c r="F370" s="48"/>
      <c r="G370" s="315">
        <f>G4*115.58</f>
        <v>115.58</v>
      </c>
      <c r="H370" s="80" t="s">
        <v>394</v>
      </c>
    </row>
    <row r="371" spans="1:8" s="2" customFormat="1" ht="76.5" outlineLevel="1">
      <c r="A371" s="127" t="s">
        <v>912</v>
      </c>
      <c r="B371" s="56" t="s">
        <v>1143</v>
      </c>
      <c r="C371" s="313" t="s">
        <v>1344</v>
      </c>
      <c r="D371" s="139" t="s">
        <v>1</v>
      </c>
      <c r="E371" s="314">
        <f>G4*1442.5</f>
        <v>1442.5</v>
      </c>
      <c r="F371" s="48"/>
      <c r="G371" s="315">
        <f>G4*144.25</f>
        <v>144.25</v>
      </c>
      <c r="H371" s="80" t="s">
        <v>394</v>
      </c>
    </row>
    <row r="372" spans="1:8" s="2" customFormat="1" ht="89.25" outlineLevel="1">
      <c r="A372" s="127" t="s">
        <v>358</v>
      </c>
      <c r="B372" s="56" t="s">
        <v>1144</v>
      </c>
      <c r="C372" s="313" t="s">
        <v>1345</v>
      </c>
      <c r="D372" s="139" t="s">
        <v>1</v>
      </c>
      <c r="E372" s="314">
        <f>G4*873</f>
        <v>873</v>
      </c>
      <c r="F372" s="48"/>
      <c r="G372" s="315">
        <f>G4*87.3</f>
        <v>87.3</v>
      </c>
      <c r="H372" s="80" t="s">
        <v>393</v>
      </c>
    </row>
    <row r="373" spans="1:8" s="2" customFormat="1" ht="76.5" outlineLevel="1">
      <c r="A373" s="127" t="s">
        <v>359</v>
      </c>
      <c r="B373" s="56" t="s">
        <v>1145</v>
      </c>
      <c r="C373" s="313" t="s">
        <v>1346</v>
      </c>
      <c r="D373" s="139" t="s">
        <v>1</v>
      </c>
      <c r="E373" s="314">
        <f>G4*1373.18</f>
        <v>1373.18</v>
      </c>
      <c r="F373" s="48"/>
      <c r="G373" s="315">
        <f>G4*137.33</f>
        <v>137.33000000000001</v>
      </c>
      <c r="H373" s="80" t="s">
        <v>393</v>
      </c>
    </row>
    <row r="374" spans="1:8" s="2" customFormat="1" ht="89.25" outlineLevel="1">
      <c r="A374" s="127" t="s">
        <v>913</v>
      </c>
      <c r="B374" s="56" t="s">
        <v>1146</v>
      </c>
      <c r="C374" s="313" t="s">
        <v>1341</v>
      </c>
      <c r="D374" s="139" t="s">
        <v>1</v>
      </c>
      <c r="E374" s="314">
        <f>G4*1669.32</f>
        <v>1669.32</v>
      </c>
      <c r="F374" s="48"/>
      <c r="G374" s="315">
        <f>G4*166.93</f>
        <v>166.93</v>
      </c>
      <c r="H374" s="80" t="s">
        <v>393</v>
      </c>
    </row>
    <row r="375" spans="1:8" s="2" customFormat="1" ht="102" outlineLevel="1">
      <c r="A375" s="127" t="s">
        <v>360</v>
      </c>
      <c r="B375" s="56" t="s">
        <v>1147</v>
      </c>
      <c r="C375" s="313" t="s">
        <v>1347</v>
      </c>
      <c r="D375" s="139" t="s">
        <v>1</v>
      </c>
      <c r="E375" s="314">
        <f>G4*442.29</f>
        <v>442.29</v>
      </c>
      <c r="F375" s="48"/>
      <c r="G375" s="315">
        <f>G4*44.23</f>
        <v>44.23</v>
      </c>
      <c r="H375" s="80" t="s">
        <v>785</v>
      </c>
    </row>
    <row r="376" spans="1:8" s="2" customFormat="1" ht="89.25" outlineLevel="1">
      <c r="A376" s="127" t="s">
        <v>362</v>
      </c>
      <c r="B376" s="56" t="s">
        <v>1148</v>
      </c>
      <c r="C376" s="313" t="s">
        <v>1348</v>
      </c>
      <c r="D376" s="139" t="s">
        <v>1</v>
      </c>
      <c r="E376" s="314">
        <f>G4*794.53</f>
        <v>794.53</v>
      </c>
      <c r="F376" s="48"/>
      <c r="G376" s="315">
        <f>G4*79.45</f>
        <v>79.45</v>
      </c>
      <c r="H376" s="80" t="s">
        <v>785</v>
      </c>
    </row>
    <row r="377" spans="1:8" s="2" customFormat="1" ht="89.25" outlineLevel="1">
      <c r="A377" s="127" t="s">
        <v>914</v>
      </c>
      <c r="B377" s="56" t="s">
        <v>1149</v>
      </c>
      <c r="C377" s="313" t="s">
        <v>1349</v>
      </c>
      <c r="D377" s="139" t="s">
        <v>1</v>
      </c>
      <c r="E377" s="314">
        <f>G4*1413.77</f>
        <v>1413.77</v>
      </c>
      <c r="F377" s="48"/>
      <c r="G377" s="315">
        <f>G4*141.38</f>
        <v>141.38</v>
      </c>
      <c r="H377" s="80" t="s">
        <v>785</v>
      </c>
    </row>
    <row r="378" spans="1:8" s="2" customFormat="1" ht="51" outlineLevel="1">
      <c r="A378" s="127" t="s">
        <v>364</v>
      </c>
      <c r="B378" s="56" t="s">
        <v>1150</v>
      </c>
      <c r="C378" s="56" t="s">
        <v>421</v>
      </c>
      <c r="D378" s="139" t="s">
        <v>59</v>
      </c>
      <c r="E378" s="314">
        <f>G4*64.26</f>
        <v>64.260000000000005</v>
      </c>
      <c r="F378" s="48"/>
      <c r="G378" s="315">
        <f>G4*6.43</f>
        <v>6.43</v>
      </c>
      <c r="H378" s="144" t="s">
        <v>1746</v>
      </c>
    </row>
    <row r="379" spans="1:8" s="2" customFormat="1" ht="63.75" outlineLevel="1">
      <c r="A379" s="127" t="s">
        <v>365</v>
      </c>
      <c r="B379" s="56" t="s">
        <v>1151</v>
      </c>
      <c r="C379" s="56" t="s">
        <v>1039</v>
      </c>
      <c r="D379" s="139" t="s">
        <v>59</v>
      </c>
      <c r="E379" s="314">
        <f>G4*148.18</f>
        <v>148.18</v>
      </c>
      <c r="F379" s="48"/>
      <c r="G379" s="315">
        <f>G4*14.82</f>
        <v>14.82</v>
      </c>
      <c r="H379" s="144" t="s">
        <v>1746</v>
      </c>
    </row>
    <row r="380" spans="1:8" s="2" customFormat="1" ht="51" outlineLevel="1">
      <c r="A380" s="127" t="s">
        <v>366</v>
      </c>
      <c r="B380" s="79" t="s">
        <v>1153</v>
      </c>
      <c r="C380" s="219" t="s">
        <v>1040</v>
      </c>
      <c r="D380" s="139" t="s">
        <v>59</v>
      </c>
      <c r="E380" s="314">
        <f>G4*45.03</f>
        <v>45.03</v>
      </c>
      <c r="F380" s="48"/>
      <c r="G380" s="315">
        <f>G4*4.5</f>
        <v>4.5</v>
      </c>
      <c r="H380" s="144" t="s">
        <v>1746</v>
      </c>
    </row>
    <row r="381" spans="1:8" s="2" customFormat="1" ht="63.75" outlineLevel="1">
      <c r="A381" s="127" t="s">
        <v>367</v>
      </c>
      <c r="B381" s="79" t="s">
        <v>1152</v>
      </c>
      <c r="C381" s="219" t="s">
        <v>1041</v>
      </c>
      <c r="D381" s="139" t="s">
        <v>59</v>
      </c>
      <c r="E381" s="314">
        <f>G4*105.9</f>
        <v>105.9</v>
      </c>
      <c r="F381" s="48"/>
      <c r="G381" s="315">
        <f>G4*10.59</f>
        <v>10.59</v>
      </c>
      <c r="H381" s="144" t="s">
        <v>1746</v>
      </c>
    </row>
    <row r="382" spans="1:8" s="2" customFormat="1" ht="51" outlineLevel="1">
      <c r="A382" s="127" t="s">
        <v>369</v>
      </c>
      <c r="B382" s="79" t="s">
        <v>1154</v>
      </c>
      <c r="C382" s="219" t="s">
        <v>1042</v>
      </c>
      <c r="D382" s="139" t="s">
        <v>59</v>
      </c>
      <c r="E382" s="314">
        <f>G4*95.12</f>
        <v>95.12</v>
      </c>
      <c r="F382" s="48"/>
      <c r="G382" s="315">
        <f>G4*9.51</f>
        <v>9.51</v>
      </c>
      <c r="H382" s="144" t="s">
        <v>1746</v>
      </c>
    </row>
    <row r="383" spans="1:8" s="2" customFormat="1" ht="63.75" outlineLevel="1">
      <c r="A383" s="127" t="s">
        <v>370</v>
      </c>
      <c r="B383" s="79" t="s">
        <v>1155</v>
      </c>
      <c r="C383" s="219" t="s">
        <v>1043</v>
      </c>
      <c r="D383" s="139" t="s">
        <v>59</v>
      </c>
      <c r="E383" s="314">
        <f>G4*148.18</f>
        <v>148.18</v>
      </c>
      <c r="F383" s="48"/>
      <c r="G383" s="315">
        <f>G4*14.82</f>
        <v>14.82</v>
      </c>
      <c r="H383" s="144" t="s">
        <v>1746</v>
      </c>
    </row>
    <row r="384" spans="1:8" s="2" customFormat="1" ht="51" outlineLevel="1">
      <c r="A384" s="127" t="s">
        <v>371</v>
      </c>
      <c r="B384" s="79" t="s">
        <v>1156</v>
      </c>
      <c r="C384" s="219" t="s">
        <v>1044</v>
      </c>
      <c r="D384" s="139" t="s">
        <v>59</v>
      </c>
      <c r="E384" s="314">
        <f>G4*77.15</f>
        <v>77.150000000000006</v>
      </c>
      <c r="F384" s="48"/>
      <c r="G384" s="315">
        <f>G4*7.72</f>
        <v>7.72</v>
      </c>
      <c r="H384" s="144" t="s">
        <v>1746</v>
      </c>
    </row>
    <row r="385" spans="1:9" s="2" customFormat="1" ht="63.75" outlineLevel="1">
      <c r="A385" s="127" t="s">
        <v>372</v>
      </c>
      <c r="B385" s="56" t="s">
        <v>1157</v>
      </c>
      <c r="C385" s="219" t="s">
        <v>1045</v>
      </c>
      <c r="D385" s="139" t="s">
        <v>59</v>
      </c>
      <c r="E385" s="314">
        <f>G4*138.03</f>
        <v>138.03</v>
      </c>
      <c r="F385" s="48"/>
      <c r="G385" s="315">
        <f>G4*13.8</f>
        <v>13.8</v>
      </c>
      <c r="H385" s="144" t="s">
        <v>1746</v>
      </c>
    </row>
    <row r="386" spans="1:9" s="2" customFormat="1" ht="63.75" outlineLevel="1">
      <c r="A386" s="127" t="s">
        <v>373</v>
      </c>
      <c r="B386" s="79" t="s">
        <v>1024</v>
      </c>
      <c r="C386" s="219" t="s">
        <v>1158</v>
      </c>
      <c r="D386" s="139" t="s">
        <v>59</v>
      </c>
      <c r="E386" s="314">
        <f>G4*146.68</f>
        <v>146.68</v>
      </c>
      <c r="F386" s="48"/>
      <c r="G386" s="315">
        <f>G4*14.67</f>
        <v>14.67</v>
      </c>
      <c r="H386" s="144" t="s">
        <v>1746</v>
      </c>
    </row>
    <row r="387" spans="1:9" s="2" customFormat="1" ht="51" outlineLevel="1">
      <c r="A387" s="127" t="s">
        <v>374</v>
      </c>
      <c r="B387" s="79" t="s">
        <v>343</v>
      </c>
      <c r="C387" s="219" t="s">
        <v>344</v>
      </c>
      <c r="D387" s="139" t="s">
        <v>59</v>
      </c>
      <c r="E387" s="314">
        <f>G4*107.79</f>
        <v>107.79</v>
      </c>
      <c r="F387" s="48"/>
      <c r="G387" s="315">
        <f>G4*10.78</f>
        <v>10.78</v>
      </c>
      <c r="H387" s="144" t="s">
        <v>1746</v>
      </c>
    </row>
    <row r="388" spans="1:9" s="2" customFormat="1" ht="63.75" outlineLevel="1">
      <c r="A388" s="127" t="s">
        <v>377</v>
      </c>
      <c r="B388" s="56" t="s">
        <v>1159</v>
      </c>
      <c r="C388" s="56" t="s">
        <v>429</v>
      </c>
      <c r="D388" s="287" t="s">
        <v>59</v>
      </c>
      <c r="E388" s="47">
        <f>G4*92.72</f>
        <v>92.72</v>
      </c>
      <c r="F388" s="48"/>
      <c r="G388" s="49">
        <f>G4*9.27</f>
        <v>9.27</v>
      </c>
      <c r="H388" s="144" t="s">
        <v>1746</v>
      </c>
    </row>
    <row r="389" spans="1:9" s="2" customFormat="1" ht="63.75" outlineLevel="1">
      <c r="A389" s="127" t="s">
        <v>379</v>
      </c>
      <c r="B389" s="56" t="s">
        <v>1160</v>
      </c>
      <c r="C389" s="56" t="s">
        <v>430</v>
      </c>
      <c r="D389" s="287" t="s">
        <v>59</v>
      </c>
      <c r="E389" s="47">
        <f>G4*109.34</f>
        <v>109.34</v>
      </c>
      <c r="F389" s="48"/>
      <c r="G389" s="49">
        <f>G4*10.94</f>
        <v>10.94</v>
      </c>
      <c r="H389" s="144" t="s">
        <v>1746</v>
      </c>
    </row>
    <row r="390" spans="1:9" s="2" customFormat="1" ht="38.25" outlineLevel="1">
      <c r="A390" s="127" t="s">
        <v>381</v>
      </c>
      <c r="B390" s="79" t="s">
        <v>1161</v>
      </c>
      <c r="C390" s="219" t="s">
        <v>361</v>
      </c>
      <c r="D390" s="287" t="s">
        <v>59</v>
      </c>
      <c r="E390" s="47">
        <f>G4*103.81</f>
        <v>103.81</v>
      </c>
      <c r="F390" s="48"/>
      <c r="G390" s="49">
        <f>G4*11.42</f>
        <v>11.42</v>
      </c>
      <c r="H390" s="144" t="s">
        <v>70</v>
      </c>
    </row>
    <row r="391" spans="1:9" s="2" customFormat="1" ht="38.25" outlineLevel="1">
      <c r="A391" s="127" t="s">
        <v>384</v>
      </c>
      <c r="B391" s="79" t="s">
        <v>1162</v>
      </c>
      <c r="C391" s="219" t="s">
        <v>363</v>
      </c>
      <c r="D391" s="287" t="s">
        <v>59</v>
      </c>
      <c r="E391" s="47">
        <f>G4*128.7</f>
        <v>128.69999999999999</v>
      </c>
      <c r="F391" s="48"/>
      <c r="G391" s="49">
        <f>G4*14.15</f>
        <v>14.15</v>
      </c>
      <c r="H391" s="144" t="s">
        <v>70</v>
      </c>
    </row>
    <row r="392" spans="1:9" s="2" customFormat="1" ht="40.15" customHeight="1" outlineLevel="1">
      <c r="A392" s="516" t="s">
        <v>1426</v>
      </c>
      <c r="B392" s="516"/>
      <c r="C392" s="517"/>
      <c r="D392" s="254"/>
      <c r="E392" s="75"/>
      <c r="F392" s="76"/>
      <c r="G392" s="77"/>
      <c r="H392" s="144" t="s">
        <v>70</v>
      </c>
      <c r="I392" s="513"/>
    </row>
    <row r="393" spans="1:9" s="2" customFormat="1" ht="15.75" outlineLevel="1">
      <c r="A393" s="214" t="s">
        <v>386</v>
      </c>
      <c r="B393" s="316" t="s">
        <v>720</v>
      </c>
      <c r="C393" s="317"/>
      <c r="D393" s="317"/>
      <c r="E393" s="318"/>
      <c r="F393" s="319"/>
      <c r="G393" s="320"/>
      <c r="H393" s="144" t="s">
        <v>70</v>
      </c>
    </row>
    <row r="394" spans="1:9" s="2" customFormat="1" ht="63.75" outlineLevel="1">
      <c r="A394" s="321" t="s">
        <v>922</v>
      </c>
      <c r="B394" s="147" t="s">
        <v>926</v>
      </c>
      <c r="C394" s="147" t="s">
        <v>1027</v>
      </c>
      <c r="D394" s="185" t="s">
        <v>923</v>
      </c>
      <c r="E394" s="314">
        <f>G4*2921.69</f>
        <v>2921.69</v>
      </c>
      <c r="F394" s="48"/>
      <c r="G394" s="187">
        <v>0</v>
      </c>
      <c r="H394" s="211" t="s">
        <v>1026</v>
      </c>
    </row>
    <row r="395" spans="1:9" s="2" customFormat="1" ht="51" outlineLevel="1">
      <c r="A395" s="321" t="s">
        <v>852</v>
      </c>
      <c r="B395" s="147" t="s">
        <v>718</v>
      </c>
      <c r="C395" s="147" t="s">
        <v>1163</v>
      </c>
      <c r="D395" s="185" t="s">
        <v>42</v>
      </c>
      <c r="E395" s="314">
        <f>G4*1235.74</f>
        <v>1235.74</v>
      </c>
      <c r="F395" s="48"/>
      <c r="G395" s="315">
        <f>G4*123.58</f>
        <v>123.58</v>
      </c>
      <c r="H395" s="322" t="s">
        <v>70</v>
      </c>
    </row>
    <row r="396" spans="1:9" s="2" customFormat="1" ht="63.75" outlineLevel="1">
      <c r="A396" s="321" t="s">
        <v>853</v>
      </c>
      <c r="B396" s="147" t="s">
        <v>774</v>
      </c>
      <c r="C396" s="147" t="s">
        <v>1164</v>
      </c>
      <c r="D396" s="185" t="s">
        <v>42</v>
      </c>
      <c r="E396" s="314">
        <f>G4*1413.07</f>
        <v>1413.07</v>
      </c>
      <c r="F396" s="48"/>
      <c r="G396" s="315">
        <f>G4*141.33</f>
        <v>141.33000000000001</v>
      </c>
      <c r="H396" s="322" t="s">
        <v>70</v>
      </c>
    </row>
    <row r="397" spans="1:9" s="2" customFormat="1" ht="39.6" customHeight="1" outlineLevel="1">
      <c r="A397" s="321" t="s">
        <v>854</v>
      </c>
      <c r="B397" s="147" t="s">
        <v>719</v>
      </c>
      <c r="C397" s="147" t="s">
        <v>1165</v>
      </c>
      <c r="D397" s="185" t="s">
        <v>42</v>
      </c>
      <c r="E397" s="314">
        <f>G4*213.66</f>
        <v>213.66</v>
      </c>
      <c r="F397" s="48"/>
      <c r="G397" s="315">
        <f>G4*21.37</f>
        <v>21.37</v>
      </c>
      <c r="H397" s="322" t="s">
        <v>70</v>
      </c>
    </row>
    <row r="398" spans="1:9" s="2" customFormat="1" ht="38.25" outlineLevel="1">
      <c r="A398" s="321" t="s">
        <v>855</v>
      </c>
      <c r="B398" s="147" t="s">
        <v>1019</v>
      </c>
      <c r="C398" s="147" t="s">
        <v>1166</v>
      </c>
      <c r="D398" s="185" t="s">
        <v>42</v>
      </c>
      <c r="E398" s="314">
        <f>G4*300.38</f>
        <v>300.38</v>
      </c>
      <c r="F398" s="48"/>
      <c r="G398" s="315">
        <f>G4*30.04</f>
        <v>30.04</v>
      </c>
      <c r="H398" s="322" t="s">
        <v>70</v>
      </c>
    </row>
    <row r="399" spans="1:9" s="2" customFormat="1" ht="38.25" outlineLevel="1">
      <c r="A399" s="321" t="s">
        <v>856</v>
      </c>
      <c r="B399" s="147" t="s">
        <v>947</v>
      </c>
      <c r="C399" s="147" t="s">
        <v>948</v>
      </c>
      <c r="D399" s="185" t="s">
        <v>42</v>
      </c>
      <c r="E399" s="314">
        <f>G4*660.83</f>
        <v>660.83</v>
      </c>
      <c r="F399" s="48"/>
      <c r="G399" s="315">
        <f>G4*66.08</f>
        <v>66.08</v>
      </c>
      <c r="H399" s="322" t="s">
        <v>70</v>
      </c>
    </row>
    <row r="400" spans="1:9" s="2" customFormat="1" ht="51" outlineLevel="1">
      <c r="A400" s="321" t="s">
        <v>857</v>
      </c>
      <c r="B400" s="147" t="s">
        <v>1020</v>
      </c>
      <c r="C400" s="147" t="s">
        <v>1167</v>
      </c>
      <c r="D400" s="185" t="s">
        <v>42</v>
      </c>
      <c r="E400" s="314">
        <f>G4*330.41</f>
        <v>330.41</v>
      </c>
      <c r="F400" s="48"/>
      <c r="G400" s="315">
        <f>G4*33.05</f>
        <v>33.049999999999997</v>
      </c>
      <c r="H400" s="322" t="s">
        <v>70</v>
      </c>
    </row>
    <row r="401" spans="1:9" s="2" customFormat="1" ht="51" outlineLevel="1">
      <c r="A401" s="321" t="s">
        <v>858</v>
      </c>
      <c r="B401" s="147" t="s">
        <v>723</v>
      </c>
      <c r="C401" s="147" t="s">
        <v>1168</v>
      </c>
      <c r="D401" s="185" t="s">
        <v>42</v>
      </c>
      <c r="E401" s="314">
        <f>G4*1050.25</f>
        <v>1050.25</v>
      </c>
      <c r="F401" s="48"/>
      <c r="G401" s="315">
        <f>G4*105.03</f>
        <v>105.03</v>
      </c>
      <c r="H401" s="322" t="s">
        <v>70</v>
      </c>
    </row>
    <row r="402" spans="1:9" s="2" customFormat="1" ht="25.5" outlineLevel="1">
      <c r="A402" s="321" t="s">
        <v>859</v>
      </c>
      <c r="B402" s="147" t="s">
        <v>917</v>
      </c>
      <c r="C402" s="147" t="s">
        <v>919</v>
      </c>
      <c r="D402" s="185" t="s">
        <v>42</v>
      </c>
      <c r="E402" s="314">
        <v>904.51</v>
      </c>
      <c r="F402" s="48"/>
      <c r="G402" s="187">
        <v>90.45</v>
      </c>
      <c r="H402" s="322" t="s">
        <v>70</v>
      </c>
      <c r="I402" s="513"/>
    </row>
    <row r="403" spans="1:9" s="2" customFormat="1" ht="63.75" outlineLevel="1">
      <c r="A403" s="321" t="s">
        <v>918</v>
      </c>
      <c r="B403" s="147" t="s">
        <v>1807</v>
      </c>
      <c r="C403" s="147" t="s">
        <v>1808</v>
      </c>
      <c r="D403" s="185" t="s">
        <v>42</v>
      </c>
      <c r="E403" s="314">
        <f>G4*1524.18</f>
        <v>1524.18</v>
      </c>
      <c r="F403" s="48"/>
      <c r="G403" s="187">
        <f>G4*152.42</f>
        <v>152.41999999999999</v>
      </c>
      <c r="H403" s="322" t="s">
        <v>70</v>
      </c>
    </row>
    <row r="404" spans="1:9" s="2" customFormat="1" ht="51" outlineLevel="1">
      <c r="A404" s="321" t="s">
        <v>934</v>
      </c>
      <c r="B404" s="147" t="s">
        <v>1021</v>
      </c>
      <c r="C404" s="147" t="s">
        <v>1584</v>
      </c>
      <c r="D404" s="185" t="s">
        <v>42</v>
      </c>
      <c r="E404" s="314">
        <f>G4*1324.95</f>
        <v>1324.95</v>
      </c>
      <c r="F404" s="48"/>
      <c r="G404" s="187">
        <f>G4*132.49</f>
        <v>132.49</v>
      </c>
      <c r="H404" s="80" t="s">
        <v>936</v>
      </c>
    </row>
    <row r="405" spans="1:9" s="2" customFormat="1" ht="38.25" outlineLevel="1">
      <c r="A405" s="321" t="s">
        <v>860</v>
      </c>
      <c r="B405" s="147" t="s">
        <v>1810</v>
      </c>
      <c r="C405" s="147" t="s">
        <v>1811</v>
      </c>
      <c r="D405" s="185" t="s">
        <v>42</v>
      </c>
      <c r="E405" s="314">
        <f>G4*834.41</f>
        <v>834.41</v>
      </c>
      <c r="F405" s="48"/>
      <c r="G405" s="49">
        <v>0</v>
      </c>
      <c r="H405" s="144" t="s">
        <v>70</v>
      </c>
    </row>
    <row r="406" spans="1:9" s="2" customFormat="1" ht="25.5" outlineLevel="1">
      <c r="A406" s="321" t="s">
        <v>861</v>
      </c>
      <c r="B406" s="79" t="s">
        <v>663</v>
      </c>
      <c r="C406" s="219" t="s">
        <v>876</v>
      </c>
      <c r="D406" s="139" t="s">
        <v>42</v>
      </c>
      <c r="E406" s="314">
        <f>G4*12.02</f>
        <v>12.02</v>
      </c>
      <c r="F406" s="48"/>
      <c r="G406" s="49">
        <v>0</v>
      </c>
      <c r="H406" s="144" t="s">
        <v>70</v>
      </c>
    </row>
    <row r="407" spans="1:9" s="2" customFormat="1" ht="25.5" outlineLevel="1">
      <c r="A407" s="321" t="s">
        <v>875</v>
      </c>
      <c r="B407" s="79" t="s">
        <v>877</v>
      </c>
      <c r="C407" s="219" t="s">
        <v>878</v>
      </c>
      <c r="D407" s="139" t="s">
        <v>42</v>
      </c>
      <c r="E407" s="314">
        <f>G4*42.05</f>
        <v>42.05</v>
      </c>
      <c r="F407" s="48"/>
      <c r="G407" s="49">
        <v>0</v>
      </c>
      <c r="H407" s="144" t="s">
        <v>70</v>
      </c>
    </row>
    <row r="408" spans="1:9" s="2" customFormat="1" ht="25.5" outlineLevel="1">
      <c r="A408" s="214" t="s">
        <v>388</v>
      </c>
      <c r="B408" s="309" t="s">
        <v>778</v>
      </c>
      <c r="C408" s="323"/>
      <c r="D408" s="114"/>
      <c r="E408" s="324"/>
      <c r="F408" s="116"/>
      <c r="G408" s="310"/>
      <c r="H408" s="144" t="s">
        <v>70</v>
      </c>
      <c r="I408" s="513"/>
    </row>
    <row r="409" spans="1:9" s="2" customFormat="1" ht="51" outlineLevel="1">
      <c r="A409" s="321" t="s">
        <v>775</v>
      </c>
      <c r="B409" s="79" t="s">
        <v>779</v>
      </c>
      <c r="C409" s="219" t="s">
        <v>1170</v>
      </c>
      <c r="D409" s="139" t="s">
        <v>42</v>
      </c>
      <c r="E409" s="314">
        <f>G4*751.96</f>
        <v>751.96</v>
      </c>
      <c r="F409" s="48"/>
      <c r="G409" s="187">
        <v>0</v>
      </c>
      <c r="H409" s="144" t="s">
        <v>70</v>
      </c>
    </row>
    <row r="410" spans="1:9" s="2" customFormat="1" ht="63.75" outlineLevel="1">
      <c r="A410" s="321" t="s">
        <v>776</v>
      </c>
      <c r="B410" s="79" t="s">
        <v>1015</v>
      </c>
      <c r="C410" s="219" t="s">
        <v>1169</v>
      </c>
      <c r="D410" s="139" t="s">
        <v>42</v>
      </c>
      <c r="E410" s="314">
        <f>G4*210.26</f>
        <v>210.26</v>
      </c>
      <c r="F410" s="48"/>
      <c r="G410" s="187">
        <v>0</v>
      </c>
      <c r="H410" s="144" t="s">
        <v>70</v>
      </c>
    </row>
    <row r="411" spans="1:9" s="2" customFormat="1" ht="63.75" outlineLevel="1">
      <c r="A411" s="321" t="s">
        <v>777</v>
      </c>
      <c r="B411" s="79" t="s">
        <v>1022</v>
      </c>
      <c r="C411" s="219" t="s">
        <v>1171</v>
      </c>
      <c r="D411" s="139" t="s">
        <v>42</v>
      </c>
      <c r="E411" s="314">
        <f>G4*378.47</f>
        <v>378.47</v>
      </c>
      <c r="F411" s="48"/>
      <c r="G411" s="187">
        <v>0</v>
      </c>
      <c r="H411" s="66" t="s">
        <v>1023</v>
      </c>
    </row>
    <row r="412" spans="1:9" s="2" customFormat="1" ht="89.25" outlineLevel="1">
      <c r="A412" s="325" t="s">
        <v>389</v>
      </c>
      <c r="B412" s="79" t="s">
        <v>1172</v>
      </c>
      <c r="C412" s="326" t="s">
        <v>1173</v>
      </c>
      <c r="D412" s="327" t="s">
        <v>42</v>
      </c>
      <c r="E412" s="314">
        <f>G4*7236.97</f>
        <v>7236.97</v>
      </c>
      <c r="F412" s="48"/>
      <c r="G412" s="315">
        <f>G4*723.69</f>
        <v>723.69</v>
      </c>
      <c r="H412" s="144" t="s">
        <v>70</v>
      </c>
    </row>
    <row r="413" spans="1:9" s="2" customFormat="1" ht="76.5" outlineLevel="1">
      <c r="A413" s="62" t="s">
        <v>391</v>
      </c>
      <c r="B413" s="79" t="s">
        <v>1174</v>
      </c>
      <c r="C413" s="326" t="s">
        <v>1175</v>
      </c>
      <c r="D413" s="327" t="s">
        <v>42</v>
      </c>
      <c r="E413" s="314">
        <f>G4*5361.68</f>
        <v>5361.68</v>
      </c>
      <c r="F413" s="48"/>
      <c r="G413" s="315">
        <f>G4*536.17</f>
        <v>536.16999999999996</v>
      </c>
      <c r="H413" s="144" t="s">
        <v>70</v>
      </c>
    </row>
    <row r="414" spans="1:9" s="2" customFormat="1" ht="25.5" outlineLevel="1">
      <c r="A414" s="325" t="s">
        <v>392</v>
      </c>
      <c r="B414" s="79" t="s">
        <v>375</v>
      </c>
      <c r="C414" s="219" t="s">
        <v>376</v>
      </c>
      <c r="D414" s="139" t="s">
        <v>59</v>
      </c>
      <c r="E414" s="47">
        <f>G4*402.05</f>
        <v>402.05</v>
      </c>
      <c r="F414" s="48"/>
      <c r="G414" s="49">
        <f>G4*40.2</f>
        <v>40.200000000000003</v>
      </c>
      <c r="H414" s="144" t="s">
        <v>70</v>
      </c>
    </row>
    <row r="415" spans="1:9" s="2" customFormat="1" ht="51" outlineLevel="1">
      <c r="A415" s="62" t="s">
        <v>431</v>
      </c>
      <c r="B415" s="79" t="s">
        <v>1176</v>
      </c>
      <c r="C415" s="219" t="s">
        <v>352</v>
      </c>
      <c r="D415" s="139" t="s">
        <v>353</v>
      </c>
      <c r="E415" s="314">
        <f>G4*4060.16</f>
        <v>4060.16</v>
      </c>
      <c r="F415" s="48"/>
      <c r="G415" s="315">
        <f>G4*406.18</f>
        <v>406.18</v>
      </c>
      <c r="H415" s="144"/>
    </row>
    <row r="416" spans="1:9" s="2" customFormat="1" ht="92.45" customHeight="1" outlineLevel="1">
      <c r="A416" s="325" t="s">
        <v>432</v>
      </c>
      <c r="B416" s="79" t="s">
        <v>1177</v>
      </c>
      <c r="C416" s="219" t="s">
        <v>698</v>
      </c>
      <c r="D416" s="287" t="s">
        <v>59</v>
      </c>
      <c r="E416" s="47">
        <f>G4*73.93</f>
        <v>73.930000000000007</v>
      </c>
      <c r="F416" s="48"/>
      <c r="G416" s="49">
        <f>G4*7.4</f>
        <v>7.4</v>
      </c>
      <c r="H416" s="211" t="s">
        <v>1813</v>
      </c>
    </row>
    <row r="417" spans="1:9" s="2" customFormat="1" ht="89.25" outlineLevel="1">
      <c r="A417" s="62" t="s">
        <v>433</v>
      </c>
      <c r="B417" s="79" t="s">
        <v>1178</v>
      </c>
      <c r="C417" s="219" t="s">
        <v>697</v>
      </c>
      <c r="D417" s="287" t="s">
        <v>59</v>
      </c>
      <c r="E417" s="47">
        <f>G4*53.12</f>
        <v>53.12</v>
      </c>
      <c r="F417" s="48"/>
      <c r="G417" s="49">
        <f>G4*5.31</f>
        <v>5.31</v>
      </c>
      <c r="H417" s="211" t="s">
        <v>1813</v>
      </c>
    </row>
    <row r="418" spans="1:9" s="2" customFormat="1" ht="89.25" outlineLevel="1">
      <c r="A418" s="325" t="s">
        <v>434</v>
      </c>
      <c r="B418" s="79" t="s">
        <v>1179</v>
      </c>
      <c r="C418" s="219" t="s">
        <v>378</v>
      </c>
      <c r="D418" s="139" t="s">
        <v>59</v>
      </c>
      <c r="E418" s="47">
        <f>G4*84.32</f>
        <v>84.32</v>
      </c>
      <c r="F418" s="48"/>
      <c r="G418" s="49">
        <f>G4*8.43</f>
        <v>8.43</v>
      </c>
      <c r="H418" s="211" t="s">
        <v>1813</v>
      </c>
    </row>
    <row r="419" spans="1:9" s="2" customFormat="1" ht="25.5" outlineLevel="1">
      <c r="A419" s="62" t="s">
        <v>435</v>
      </c>
      <c r="B419" s="147" t="s">
        <v>60</v>
      </c>
      <c r="C419" s="147" t="s">
        <v>61</v>
      </c>
      <c r="D419" s="185" t="s">
        <v>42</v>
      </c>
      <c r="E419" s="186">
        <f>G4*318.44</f>
        <v>318.44</v>
      </c>
      <c r="F419" s="48"/>
      <c r="G419" s="187">
        <f>G4*31.84</f>
        <v>31.84</v>
      </c>
      <c r="H419" s="147" t="s">
        <v>70</v>
      </c>
    </row>
    <row r="420" spans="1:9" s="2" customFormat="1" ht="25.5" outlineLevel="1">
      <c r="A420" s="325" t="s">
        <v>436</v>
      </c>
      <c r="B420" s="79" t="s">
        <v>385</v>
      </c>
      <c r="C420" s="219" t="s">
        <v>1350</v>
      </c>
      <c r="D420" s="139" t="s">
        <v>42</v>
      </c>
      <c r="E420" s="47">
        <f>G4*124.8</f>
        <v>124.8</v>
      </c>
      <c r="F420" s="48"/>
      <c r="G420" s="49">
        <v>0</v>
      </c>
      <c r="H420" s="144" t="s">
        <v>70</v>
      </c>
    </row>
    <row r="421" spans="1:9" s="2" customFormat="1" ht="15.75" outlineLevel="1">
      <c r="A421" s="62" t="s">
        <v>437</v>
      </c>
      <c r="B421" s="79" t="s">
        <v>192</v>
      </c>
      <c r="C421" s="219" t="s">
        <v>380</v>
      </c>
      <c r="D421" s="139" t="s">
        <v>42</v>
      </c>
      <c r="E421" s="47">
        <f>G4*151.55</f>
        <v>151.55000000000001</v>
      </c>
      <c r="F421" s="48"/>
      <c r="G421" s="49">
        <v>0</v>
      </c>
      <c r="H421" s="144" t="s">
        <v>70</v>
      </c>
    </row>
    <row r="422" spans="1:9" s="2" customFormat="1" ht="25.5" outlineLevel="1">
      <c r="A422" s="325" t="s">
        <v>438</v>
      </c>
      <c r="B422" s="79" t="s">
        <v>382</v>
      </c>
      <c r="C422" s="219" t="s">
        <v>383</v>
      </c>
      <c r="D422" s="139" t="s">
        <v>42</v>
      </c>
      <c r="E422" s="47">
        <f>G4*96.4</f>
        <v>96.4</v>
      </c>
      <c r="F422" s="48"/>
      <c r="G422" s="49">
        <v>0</v>
      </c>
      <c r="H422" s="144" t="s">
        <v>70</v>
      </c>
    </row>
    <row r="423" spans="1:9" s="2" customFormat="1" ht="127.5" outlineLevel="1">
      <c r="A423" s="62" t="s">
        <v>439</v>
      </c>
      <c r="B423" s="79" t="s">
        <v>368</v>
      </c>
      <c r="C423" s="326" t="s">
        <v>1180</v>
      </c>
      <c r="D423" s="139" t="s">
        <v>57</v>
      </c>
      <c r="E423" s="47">
        <f>G4*55653.44</f>
        <v>55653.440000000002</v>
      </c>
      <c r="F423" s="48"/>
      <c r="G423" s="49">
        <f>G4*5562.75</f>
        <v>5562.75</v>
      </c>
      <c r="H423" s="144" t="s">
        <v>70</v>
      </c>
    </row>
    <row r="424" spans="1:9" s="2" customFormat="1" ht="25.5" outlineLevel="1">
      <c r="A424" s="325" t="s">
        <v>440</v>
      </c>
      <c r="B424" s="79" t="s">
        <v>1182</v>
      </c>
      <c r="C424" s="219" t="s">
        <v>1183</v>
      </c>
      <c r="D424" s="139" t="s">
        <v>42</v>
      </c>
      <c r="E424" s="47">
        <f>G4*394.91</f>
        <v>394.91</v>
      </c>
      <c r="F424" s="48"/>
      <c r="G424" s="49">
        <f>G4*39.49</f>
        <v>39.49</v>
      </c>
      <c r="H424" s="144" t="s">
        <v>70</v>
      </c>
    </row>
    <row r="425" spans="1:9" s="2" customFormat="1" ht="25.5" outlineLevel="1">
      <c r="A425" s="62" t="s">
        <v>441</v>
      </c>
      <c r="B425" s="79" t="s">
        <v>1181</v>
      </c>
      <c r="C425" s="219" t="s">
        <v>1184</v>
      </c>
      <c r="D425" s="139" t="s">
        <v>42</v>
      </c>
      <c r="E425" s="47">
        <f>G4*882.95</f>
        <v>882.95</v>
      </c>
      <c r="F425" s="48"/>
      <c r="G425" s="49">
        <f>G4*88.3</f>
        <v>88.3</v>
      </c>
      <c r="H425" s="144" t="s">
        <v>70</v>
      </c>
    </row>
    <row r="426" spans="1:9" s="2" customFormat="1" ht="15.75" outlineLevel="1">
      <c r="A426" s="214" t="s">
        <v>442</v>
      </c>
      <c r="B426" s="328" t="s">
        <v>659</v>
      </c>
      <c r="C426" s="329"/>
      <c r="D426" s="114"/>
      <c r="E426" s="210"/>
      <c r="F426" s="116"/>
      <c r="G426" s="146"/>
      <c r="H426" s="144" t="s">
        <v>70</v>
      </c>
      <c r="I426" s="513"/>
    </row>
    <row r="427" spans="1:9" s="2" customFormat="1" ht="25.5" outlineLevel="1">
      <c r="A427" s="321" t="s">
        <v>732</v>
      </c>
      <c r="B427" s="79" t="s">
        <v>662</v>
      </c>
      <c r="C427" s="56" t="s">
        <v>1046</v>
      </c>
      <c r="D427" s="139" t="s">
        <v>661</v>
      </c>
      <c r="E427" s="314">
        <f>G4*2009.51</f>
        <v>2009.51</v>
      </c>
      <c r="F427" s="48"/>
      <c r="G427" s="187">
        <f>G4*2009.51</f>
        <v>2009.51</v>
      </c>
      <c r="H427" s="144" t="s">
        <v>70</v>
      </c>
    </row>
    <row r="428" spans="1:9" s="2" customFormat="1" ht="102" outlineLevel="1">
      <c r="A428" s="330" t="s">
        <v>733</v>
      </c>
      <c r="B428" s="79" t="s">
        <v>660</v>
      </c>
      <c r="C428" s="56" t="s">
        <v>1185</v>
      </c>
      <c r="D428" s="139" t="s">
        <v>661</v>
      </c>
      <c r="E428" s="314">
        <f>G4*13396.73</f>
        <v>13396.73</v>
      </c>
      <c r="F428" s="48"/>
      <c r="G428" s="187">
        <v>0</v>
      </c>
      <c r="H428" s="144" t="s">
        <v>70</v>
      </c>
    </row>
    <row r="429" spans="1:9" s="2" customFormat="1" ht="38.25" outlineLevel="1">
      <c r="A429" s="321" t="s">
        <v>737</v>
      </c>
      <c r="B429" s="147" t="s">
        <v>1025</v>
      </c>
      <c r="C429" s="147" t="s">
        <v>1186</v>
      </c>
      <c r="D429" s="185" t="s">
        <v>42</v>
      </c>
      <c r="E429" s="314">
        <f>G4*445</f>
        <v>445</v>
      </c>
      <c r="F429" s="48"/>
      <c r="G429" s="315">
        <f>G4*44.5</f>
        <v>44.5</v>
      </c>
      <c r="H429" s="144" t="s">
        <v>70</v>
      </c>
    </row>
    <row r="430" spans="1:9" s="2" customFormat="1" ht="89.25" outlineLevel="1">
      <c r="A430" s="321" t="s">
        <v>738</v>
      </c>
      <c r="B430" s="79" t="s">
        <v>734</v>
      </c>
      <c r="C430" s="56" t="s">
        <v>1187</v>
      </c>
      <c r="D430" s="331" t="s">
        <v>752</v>
      </c>
      <c r="E430" s="314">
        <f>G4*5254.86</f>
        <v>5254.86</v>
      </c>
      <c r="F430" s="48"/>
      <c r="G430" s="187">
        <f>G4*578.04</f>
        <v>578.04</v>
      </c>
      <c r="H430" s="144" t="s">
        <v>70</v>
      </c>
    </row>
    <row r="431" spans="1:9" s="2" customFormat="1" ht="38.25" outlineLevel="1">
      <c r="A431" s="330" t="s">
        <v>739</v>
      </c>
      <c r="B431" s="79" t="s">
        <v>735</v>
      </c>
      <c r="C431" s="56" t="s">
        <v>1188</v>
      </c>
      <c r="D431" s="331" t="s">
        <v>57</v>
      </c>
      <c r="E431" s="314">
        <f>G4*1213.52</f>
        <v>1213.52</v>
      </c>
      <c r="F431" s="48"/>
      <c r="G431" s="187">
        <f>G4*61.28</f>
        <v>61.28</v>
      </c>
      <c r="H431" s="144" t="s">
        <v>70</v>
      </c>
    </row>
    <row r="432" spans="1:9" s="2" customFormat="1" ht="51" outlineLevel="1">
      <c r="A432" s="321" t="s">
        <v>915</v>
      </c>
      <c r="B432" s="79" t="s">
        <v>736</v>
      </c>
      <c r="C432" s="56" t="s">
        <v>1189</v>
      </c>
      <c r="D432" s="331" t="s">
        <v>57</v>
      </c>
      <c r="E432" s="314">
        <f>G4*3505.98</f>
        <v>3505.98</v>
      </c>
      <c r="F432" s="48"/>
      <c r="G432" s="187">
        <f>G4*261.93</f>
        <v>261.93</v>
      </c>
      <c r="H432" s="144" t="s">
        <v>70</v>
      </c>
    </row>
    <row r="433" spans="1:9" s="2" customFormat="1" ht="38.25" outlineLevel="1">
      <c r="A433" s="321" t="s">
        <v>915</v>
      </c>
      <c r="B433" s="79" t="s">
        <v>935</v>
      </c>
      <c r="C433" s="56" t="s">
        <v>1190</v>
      </c>
      <c r="D433" s="331" t="s">
        <v>696</v>
      </c>
      <c r="E433" s="314">
        <f>G4*1192.46</f>
        <v>1192.46</v>
      </c>
      <c r="F433" s="48"/>
      <c r="G433" s="187">
        <v>0</v>
      </c>
      <c r="H433" s="80" t="s">
        <v>916</v>
      </c>
    </row>
    <row r="434" spans="1:9" s="2" customFormat="1" ht="114.75" outlineLevel="1">
      <c r="A434" s="321" t="s">
        <v>443</v>
      </c>
      <c r="B434" s="79" t="s">
        <v>1611</v>
      </c>
      <c r="C434" s="56" t="s">
        <v>1191</v>
      </c>
      <c r="D434" s="331" t="s">
        <v>750</v>
      </c>
      <c r="E434" s="314">
        <f>G4*9302.56</f>
        <v>9302.56</v>
      </c>
      <c r="F434" s="48"/>
      <c r="G434" s="187">
        <f>G4*1023.29</f>
        <v>1023.29</v>
      </c>
      <c r="H434" s="144" t="s">
        <v>70</v>
      </c>
    </row>
    <row r="435" spans="1:9" s="2" customFormat="1" ht="102" outlineLevel="1">
      <c r="A435" s="321" t="s">
        <v>444</v>
      </c>
      <c r="B435" s="79" t="s">
        <v>1612</v>
      </c>
      <c r="C435" s="56" t="s">
        <v>1192</v>
      </c>
      <c r="D435" s="331" t="s">
        <v>750</v>
      </c>
      <c r="E435" s="314">
        <f>G4*10336.53</f>
        <v>10336.530000000001</v>
      </c>
      <c r="F435" s="48"/>
      <c r="G435" s="187">
        <f>G4*1137.02</f>
        <v>1137.02</v>
      </c>
      <c r="H435" s="144" t="s">
        <v>70</v>
      </c>
    </row>
    <row r="436" spans="1:9" s="2" customFormat="1" ht="140.25" outlineLevel="1">
      <c r="A436" s="62" t="s">
        <v>445</v>
      </c>
      <c r="B436" s="79" t="s">
        <v>1613</v>
      </c>
      <c r="C436" s="56" t="s">
        <v>1193</v>
      </c>
      <c r="D436" s="331" t="s">
        <v>750</v>
      </c>
      <c r="E436" s="314">
        <f>G4*15573.58</f>
        <v>15573.58</v>
      </c>
      <c r="F436" s="48"/>
      <c r="G436" s="187">
        <f>G4*1713.09</f>
        <v>1713.09</v>
      </c>
      <c r="H436" s="144" t="s">
        <v>70</v>
      </c>
    </row>
    <row r="437" spans="1:9" s="2" customFormat="1" ht="140.25" outlineLevel="1">
      <c r="A437" s="62" t="s">
        <v>679</v>
      </c>
      <c r="B437" s="79" t="s">
        <v>1614</v>
      </c>
      <c r="C437" s="56" t="s">
        <v>1194</v>
      </c>
      <c r="D437" s="331" t="s">
        <v>750</v>
      </c>
      <c r="E437" s="314">
        <f>G4*19517.44</f>
        <v>19517.439999999999</v>
      </c>
      <c r="F437" s="48"/>
      <c r="G437" s="187">
        <f>G4*2146.92</f>
        <v>2146.92</v>
      </c>
      <c r="H437" s="144" t="s">
        <v>70</v>
      </c>
    </row>
    <row r="438" spans="1:9" s="2" customFormat="1" ht="25.5" outlineLevel="1">
      <c r="A438" s="62" t="s">
        <v>680</v>
      </c>
      <c r="B438" s="79" t="s">
        <v>740</v>
      </c>
      <c r="C438" s="56" t="s">
        <v>1195</v>
      </c>
      <c r="D438" s="185" t="s">
        <v>751</v>
      </c>
      <c r="E438" s="314">
        <f>G4*7123.69</f>
        <v>7123.69</v>
      </c>
      <c r="F438" s="48"/>
      <c r="G438" s="187">
        <f>G4*604.35</f>
        <v>604.35</v>
      </c>
      <c r="H438" s="144" t="s">
        <v>70</v>
      </c>
    </row>
    <row r="439" spans="1:9" s="2" customFormat="1" ht="18.600000000000001" customHeight="1" outlineLevel="1">
      <c r="A439" s="214" t="s">
        <v>446</v>
      </c>
      <c r="B439" s="309" t="s">
        <v>925</v>
      </c>
      <c r="C439" s="332" t="s">
        <v>927</v>
      </c>
      <c r="D439" s="333"/>
      <c r="E439" s="334"/>
      <c r="F439" s="335"/>
      <c r="G439" s="336"/>
      <c r="H439" s="144" t="s">
        <v>70</v>
      </c>
      <c r="I439" s="513"/>
    </row>
    <row r="440" spans="1:9" s="2" customFormat="1" ht="102" outlineLevel="1">
      <c r="A440" s="62" t="s">
        <v>928</v>
      </c>
      <c r="B440" s="268" t="s">
        <v>1198</v>
      </c>
      <c r="C440" s="219" t="s">
        <v>1196</v>
      </c>
      <c r="D440" s="64" t="s">
        <v>881</v>
      </c>
      <c r="E440" s="47">
        <f>G4*1835.63</f>
        <v>1835.63</v>
      </c>
      <c r="F440" s="48"/>
      <c r="G440" s="187">
        <f>G4*1835.63</f>
        <v>1835.63</v>
      </c>
      <c r="H440" s="144" t="s">
        <v>70</v>
      </c>
    </row>
    <row r="441" spans="1:9" s="2" customFormat="1" ht="102" outlineLevel="1">
      <c r="A441" s="62" t="s">
        <v>929</v>
      </c>
      <c r="B441" s="268" t="s">
        <v>1199</v>
      </c>
      <c r="C441" s="147" t="s">
        <v>1197</v>
      </c>
      <c r="D441" s="64" t="s">
        <v>881</v>
      </c>
      <c r="E441" s="47">
        <f>G4*4895</f>
        <v>4895</v>
      </c>
      <c r="F441" s="48"/>
      <c r="G441" s="187">
        <f>G4*4895</f>
        <v>4895</v>
      </c>
      <c r="H441" s="144" t="s">
        <v>70</v>
      </c>
    </row>
    <row r="442" spans="1:9" s="2" customFormat="1" ht="140.25" outlineLevel="1">
      <c r="A442" s="62" t="s">
        <v>930</v>
      </c>
      <c r="B442" s="268" t="s">
        <v>887</v>
      </c>
      <c r="C442" s="147" t="s">
        <v>888</v>
      </c>
      <c r="D442" s="64" t="s">
        <v>881</v>
      </c>
      <c r="E442" s="47">
        <f>G4*13350</f>
        <v>13350</v>
      </c>
      <c r="F442" s="48"/>
      <c r="G442" s="187">
        <f>G4*13350</f>
        <v>13350</v>
      </c>
      <c r="H442" s="337" t="s">
        <v>1026</v>
      </c>
    </row>
    <row r="443" spans="1:9" s="2" customFormat="1" ht="102" outlineLevel="1">
      <c r="A443" s="62" t="s">
        <v>931</v>
      </c>
      <c r="B443" s="79" t="s">
        <v>880</v>
      </c>
      <c r="C443" s="326" t="s">
        <v>1351</v>
      </c>
      <c r="D443" s="64" t="s">
        <v>879</v>
      </c>
      <c r="E443" s="47">
        <f>G4*281.46</f>
        <v>281.45999999999998</v>
      </c>
      <c r="F443" s="48"/>
      <c r="G443" s="187">
        <f>G4*281.46</f>
        <v>281.45999999999998</v>
      </c>
      <c r="H443" s="337" t="s">
        <v>882</v>
      </c>
    </row>
    <row r="444" spans="1:9" s="2" customFormat="1" ht="63.75" outlineLevel="1">
      <c r="A444" s="62" t="s">
        <v>952</v>
      </c>
      <c r="B444" s="79" t="s">
        <v>1629</v>
      </c>
      <c r="C444" s="326" t="s">
        <v>955</v>
      </c>
      <c r="D444" s="64" t="s">
        <v>923</v>
      </c>
      <c r="E444" s="47">
        <f>G4*267</f>
        <v>267</v>
      </c>
      <c r="F444" s="48"/>
      <c r="G444" s="187">
        <f>G4*267</f>
        <v>267</v>
      </c>
      <c r="H444" s="337" t="s">
        <v>882</v>
      </c>
    </row>
    <row r="445" spans="1:9" s="2" customFormat="1" ht="15.75" outlineLevel="1">
      <c r="A445" s="62" t="s">
        <v>447</v>
      </c>
      <c r="B445" s="79" t="s">
        <v>387</v>
      </c>
      <c r="C445" s="219" t="s">
        <v>1200</v>
      </c>
      <c r="D445" s="338" t="s">
        <v>42</v>
      </c>
      <c r="E445" s="47">
        <f>G4*820.58</f>
        <v>820.58</v>
      </c>
      <c r="F445" s="48"/>
      <c r="G445" s="49">
        <f>G4*75.65</f>
        <v>75.650000000000006</v>
      </c>
      <c r="H445" s="339" t="s">
        <v>70</v>
      </c>
    </row>
    <row r="446" spans="1:9" s="2" customFormat="1" ht="15.75" outlineLevel="1">
      <c r="A446" s="62" t="s">
        <v>448</v>
      </c>
      <c r="B446" s="79" t="s">
        <v>872</v>
      </c>
      <c r="C446" s="219" t="s">
        <v>1352</v>
      </c>
      <c r="D446" s="338" t="s">
        <v>42</v>
      </c>
      <c r="E446" s="47">
        <f>G4*1053.7</f>
        <v>1053.7</v>
      </c>
      <c r="F446" s="48"/>
      <c r="G446" s="49">
        <f>G4*105.37</f>
        <v>105.37</v>
      </c>
      <c r="H446" s="339" t="s">
        <v>70</v>
      </c>
    </row>
    <row r="447" spans="1:9" s="2" customFormat="1" ht="51" outlineLevel="1">
      <c r="A447" s="62" t="s">
        <v>449</v>
      </c>
      <c r="B447" s="79" t="s">
        <v>883</v>
      </c>
      <c r="C447" s="219" t="s">
        <v>1201</v>
      </c>
      <c r="D447" s="338" t="s">
        <v>42</v>
      </c>
      <c r="E447" s="47">
        <f>G4*360.45</f>
        <v>360.45</v>
      </c>
      <c r="F447" s="48"/>
      <c r="G447" s="49">
        <f>G4*36.05</f>
        <v>36.049999999999997</v>
      </c>
      <c r="H447" s="339" t="s">
        <v>70</v>
      </c>
    </row>
    <row r="448" spans="1:9" s="2" customFormat="1" ht="51" outlineLevel="1">
      <c r="A448" s="62" t="s">
        <v>450</v>
      </c>
      <c r="B448" s="79" t="s">
        <v>1202</v>
      </c>
      <c r="C448" s="219" t="s">
        <v>1634</v>
      </c>
      <c r="D448" s="338" t="s">
        <v>42</v>
      </c>
      <c r="E448" s="47">
        <f>G4*267</f>
        <v>267</v>
      </c>
      <c r="F448" s="48"/>
      <c r="G448" s="49">
        <f>G4*26.7</f>
        <v>26.7</v>
      </c>
      <c r="H448" s="339" t="s">
        <v>70</v>
      </c>
    </row>
    <row r="449" spans="1:9" s="2" customFormat="1" ht="51" outlineLevel="1">
      <c r="A449" s="62" t="s">
        <v>451</v>
      </c>
      <c r="B449" s="79" t="s">
        <v>1203</v>
      </c>
      <c r="C449" s="219" t="s">
        <v>1635</v>
      </c>
      <c r="D449" s="338" t="s">
        <v>42</v>
      </c>
      <c r="E449" s="47">
        <f>G4*445</f>
        <v>445</v>
      </c>
      <c r="F449" s="48"/>
      <c r="G449" s="49">
        <f>G4*44.5</f>
        <v>44.5</v>
      </c>
      <c r="H449" s="339" t="s">
        <v>70</v>
      </c>
    </row>
    <row r="450" spans="1:9" s="2" customFormat="1" ht="51" outlineLevel="1">
      <c r="A450" s="62" t="s">
        <v>932</v>
      </c>
      <c r="B450" s="220" t="s">
        <v>1353</v>
      </c>
      <c r="C450" s="147" t="s">
        <v>1354</v>
      </c>
      <c r="D450" s="340" t="s">
        <v>42</v>
      </c>
      <c r="E450" s="314">
        <f>G4*316.54</f>
        <v>316.54000000000002</v>
      </c>
      <c r="F450" s="48"/>
      <c r="G450" s="315">
        <f>G4*31.66</f>
        <v>31.66</v>
      </c>
      <c r="H450" s="339" t="s">
        <v>70</v>
      </c>
    </row>
    <row r="451" spans="1:9" s="2" customFormat="1" ht="191.25" outlineLevel="1">
      <c r="A451" s="62" t="s">
        <v>933</v>
      </c>
      <c r="B451" s="220" t="s">
        <v>1011</v>
      </c>
      <c r="C451" s="147" t="s">
        <v>1204</v>
      </c>
      <c r="D451" s="64" t="s">
        <v>884</v>
      </c>
      <c r="E451" s="314">
        <f>G4*57.85</f>
        <v>57.85</v>
      </c>
      <c r="F451" s="48"/>
      <c r="G451" s="315">
        <v>0</v>
      </c>
      <c r="H451" s="339" t="s">
        <v>70</v>
      </c>
    </row>
    <row r="452" spans="1:9" s="2" customFormat="1" ht="127.5" outlineLevel="1">
      <c r="A452" s="62" t="s">
        <v>1013</v>
      </c>
      <c r="B452" s="220" t="s">
        <v>1012</v>
      </c>
      <c r="C452" s="147" t="s">
        <v>1014</v>
      </c>
      <c r="D452" s="64" t="s">
        <v>884</v>
      </c>
      <c r="E452" s="314">
        <f>G4*26.7</f>
        <v>26.7</v>
      </c>
      <c r="F452" s="48"/>
      <c r="G452" s="315">
        <v>0</v>
      </c>
      <c r="H452" s="339" t="s">
        <v>70</v>
      </c>
    </row>
    <row r="453" spans="1:9" s="2" customFormat="1" ht="76.5" outlineLevel="1">
      <c r="A453" s="62" t="s">
        <v>632</v>
      </c>
      <c r="B453" s="220" t="s">
        <v>1206</v>
      </c>
      <c r="C453" s="219" t="s">
        <v>1747</v>
      </c>
      <c r="D453" s="341" t="s">
        <v>42</v>
      </c>
      <c r="E453" s="314">
        <f>G4*523.52</f>
        <v>523.52</v>
      </c>
      <c r="F453" s="48"/>
      <c r="G453" s="315">
        <f>G4*52.35</f>
        <v>52.35</v>
      </c>
      <c r="H453" s="57" t="s">
        <v>722</v>
      </c>
    </row>
    <row r="454" spans="1:9" s="2" customFormat="1" ht="76.5" outlineLevel="1">
      <c r="A454" s="62" t="s">
        <v>452</v>
      </c>
      <c r="B454" s="220" t="s">
        <v>1207</v>
      </c>
      <c r="C454" s="219" t="s">
        <v>1748</v>
      </c>
      <c r="D454" s="341" t="s">
        <v>42</v>
      </c>
      <c r="E454" s="314">
        <f>G4*1758.6</f>
        <v>1758.6</v>
      </c>
      <c r="F454" s="48"/>
      <c r="G454" s="315">
        <f>G4*175.86</f>
        <v>175.86</v>
      </c>
      <c r="H454" s="57" t="s">
        <v>722</v>
      </c>
    </row>
    <row r="455" spans="1:9" s="2" customFormat="1" ht="76.5" outlineLevel="1">
      <c r="A455" s="62" t="s">
        <v>724</v>
      </c>
      <c r="B455" s="220" t="s">
        <v>1209</v>
      </c>
      <c r="C455" s="56" t="s">
        <v>1210</v>
      </c>
      <c r="D455" s="64" t="s">
        <v>696</v>
      </c>
      <c r="E455" s="186">
        <f>G4*1342.12</f>
        <v>1342.12</v>
      </c>
      <c r="F455" s="48"/>
      <c r="G455" s="187">
        <f>G4*88.11</f>
        <v>88.11</v>
      </c>
      <c r="H455" s="337" t="s">
        <v>70</v>
      </c>
    </row>
    <row r="456" spans="1:9" s="2" customFormat="1" ht="76.5" outlineLevel="1">
      <c r="A456" s="62" t="s">
        <v>453</v>
      </c>
      <c r="B456" s="147" t="s">
        <v>1211</v>
      </c>
      <c r="C456" s="56" t="s">
        <v>1212</v>
      </c>
      <c r="D456" s="340" t="s">
        <v>42</v>
      </c>
      <c r="E456" s="186">
        <f>G4*1593.79</f>
        <v>1593.79</v>
      </c>
      <c r="F456" s="48"/>
      <c r="G456" s="187">
        <f>G4*123.16</f>
        <v>123.16</v>
      </c>
      <c r="H456" s="337" t="s">
        <v>70</v>
      </c>
      <c r="I456" s="513"/>
    </row>
    <row r="457" spans="1:9" s="2" customFormat="1" ht="114.75" outlineLevel="1">
      <c r="A457" s="62" t="s">
        <v>454</v>
      </c>
      <c r="B457" s="79" t="s">
        <v>1213</v>
      </c>
      <c r="C457" s="326" t="s">
        <v>1214</v>
      </c>
      <c r="D457" s="340" t="s">
        <v>41</v>
      </c>
      <c r="E457" s="314">
        <f>G4*1820.94</f>
        <v>1820.94</v>
      </c>
      <c r="F457" s="48"/>
      <c r="G457" s="315">
        <f>G4*166.43</f>
        <v>166.43</v>
      </c>
      <c r="H457" s="337" t="s">
        <v>70</v>
      </c>
    </row>
    <row r="458" spans="1:9" s="2" customFormat="1" ht="114.75" outlineLevel="1">
      <c r="A458" s="62" t="s">
        <v>455</v>
      </c>
      <c r="B458" s="79" t="s">
        <v>1215</v>
      </c>
      <c r="C458" s="326" t="s">
        <v>1214</v>
      </c>
      <c r="D458" s="340" t="s">
        <v>41</v>
      </c>
      <c r="E458" s="314">
        <f>G4*1055.54</f>
        <v>1055.54</v>
      </c>
      <c r="F458" s="48"/>
      <c r="G458" s="315">
        <f>G4*96.12</f>
        <v>96.12</v>
      </c>
      <c r="H458" s="337" t="s">
        <v>70</v>
      </c>
    </row>
    <row r="459" spans="1:9" s="2" customFormat="1" ht="76.5" outlineLevel="1">
      <c r="A459" s="62" t="s">
        <v>940</v>
      </c>
      <c r="B459" s="56" t="s">
        <v>1216</v>
      </c>
      <c r="C459" s="56" t="s">
        <v>1028</v>
      </c>
      <c r="D459" s="340" t="s">
        <v>953</v>
      </c>
      <c r="E459" s="342">
        <f>G4*(234.04-F459)+F459</f>
        <v>234.03999999999996</v>
      </c>
      <c r="F459" s="65">
        <v>73.95</v>
      </c>
      <c r="G459" s="343">
        <f>G4*45.91</f>
        <v>45.91</v>
      </c>
      <c r="H459" s="337" t="s">
        <v>70</v>
      </c>
      <c r="I459" s="513"/>
    </row>
    <row r="460" spans="1:9" s="2" customFormat="1" ht="38.25" outlineLevel="1">
      <c r="A460" s="62" t="s">
        <v>942</v>
      </c>
      <c r="B460" s="79" t="s">
        <v>1217</v>
      </c>
      <c r="C460" s="326" t="s">
        <v>949</v>
      </c>
      <c r="D460" s="64" t="s">
        <v>1</v>
      </c>
      <c r="E460" s="314">
        <f>G4*629.21</f>
        <v>629.21</v>
      </c>
      <c r="F460" s="48"/>
      <c r="G460" s="187">
        <v>0</v>
      </c>
      <c r="H460" s="337" t="s">
        <v>1026</v>
      </c>
    </row>
    <row r="461" spans="1:9" s="2" customFormat="1" ht="38.25" outlineLevel="1">
      <c r="A461" s="62" t="s">
        <v>943</v>
      </c>
      <c r="B461" s="79" t="s">
        <v>1218</v>
      </c>
      <c r="C461" s="326" t="s">
        <v>949</v>
      </c>
      <c r="D461" s="64" t="s">
        <v>1</v>
      </c>
      <c r="E461" s="314">
        <f>G4*1060.49</f>
        <v>1060.49</v>
      </c>
      <c r="F461" s="48"/>
      <c r="G461" s="187">
        <v>0</v>
      </c>
      <c r="H461" s="337" t="s">
        <v>1026</v>
      </c>
    </row>
    <row r="462" spans="1:9" s="2" customFormat="1" ht="38.25" outlineLevel="1">
      <c r="A462" s="62" t="s">
        <v>944</v>
      </c>
      <c r="B462" s="79" t="s">
        <v>1646</v>
      </c>
      <c r="C462" s="326" t="s">
        <v>946</v>
      </c>
      <c r="D462" s="64" t="s">
        <v>1</v>
      </c>
      <c r="E462" s="314">
        <f>G4*467.5</f>
        <v>467.5</v>
      </c>
      <c r="F462" s="48"/>
      <c r="G462" s="187">
        <v>0</v>
      </c>
      <c r="H462" s="337" t="s">
        <v>1026</v>
      </c>
    </row>
    <row r="463" spans="1:9" s="2" customFormat="1" ht="127.5" outlineLevel="1">
      <c r="A463" s="62" t="s">
        <v>941</v>
      </c>
      <c r="B463" s="79" t="s">
        <v>1220</v>
      </c>
      <c r="C463" s="326" t="s">
        <v>945</v>
      </c>
      <c r="D463" s="340" t="s">
        <v>246</v>
      </c>
      <c r="E463" s="314">
        <f>G4*6920.15</f>
        <v>6920.15</v>
      </c>
      <c r="F463" s="48"/>
      <c r="G463" s="187">
        <v>0</v>
      </c>
      <c r="H463" s="337" t="s">
        <v>1026</v>
      </c>
    </row>
    <row r="464" spans="1:9" s="2" customFormat="1" ht="127.5" outlineLevel="1">
      <c r="A464" s="62" t="s">
        <v>950</v>
      </c>
      <c r="B464" s="79" t="s">
        <v>1219</v>
      </c>
      <c r="C464" s="326" t="s">
        <v>945</v>
      </c>
      <c r="D464" s="340" t="s">
        <v>246</v>
      </c>
      <c r="E464" s="314">
        <f>G4*16407.46</f>
        <v>16407.46</v>
      </c>
      <c r="F464" s="48"/>
      <c r="G464" s="187">
        <v>0</v>
      </c>
      <c r="H464" s="337" t="s">
        <v>1026</v>
      </c>
    </row>
    <row r="465" spans="1:9" s="2" customFormat="1" ht="127.5" outlineLevel="1">
      <c r="A465" s="62" t="s">
        <v>951</v>
      </c>
      <c r="B465" s="79" t="s">
        <v>1221</v>
      </c>
      <c r="C465" s="326" t="s">
        <v>945</v>
      </c>
      <c r="D465" s="340" t="s">
        <v>246</v>
      </c>
      <c r="E465" s="314">
        <f>G4*18992.47</f>
        <v>18992.47</v>
      </c>
      <c r="F465" s="48"/>
      <c r="G465" s="187">
        <v>0</v>
      </c>
      <c r="H465" s="337" t="s">
        <v>1026</v>
      </c>
    </row>
    <row r="466" spans="1:9" s="2" customFormat="1" ht="127.5" outlineLevel="1">
      <c r="A466" s="62" t="s">
        <v>954</v>
      </c>
      <c r="B466" s="79" t="s">
        <v>1222</v>
      </c>
      <c r="C466" s="326" t="s">
        <v>945</v>
      </c>
      <c r="D466" s="340" t="s">
        <v>246</v>
      </c>
      <c r="E466" s="314">
        <f>G4*40315.47</f>
        <v>40315.47</v>
      </c>
      <c r="F466" s="48"/>
      <c r="G466" s="187">
        <v>0</v>
      </c>
      <c r="H466" s="337" t="s">
        <v>1026</v>
      </c>
    </row>
    <row r="467" spans="1:9" s="2" customFormat="1" ht="25.5" outlineLevel="1">
      <c r="A467" s="62" t="s">
        <v>456</v>
      </c>
      <c r="B467" s="79" t="s">
        <v>1223</v>
      </c>
      <c r="C467" s="219" t="s">
        <v>924</v>
      </c>
      <c r="D467" s="338" t="s">
        <v>59</v>
      </c>
      <c r="E467" s="47">
        <f>G4*386.51</f>
        <v>386.51</v>
      </c>
      <c r="F467" s="48"/>
      <c r="G467" s="49">
        <f>G4*38.65</f>
        <v>38.65</v>
      </c>
      <c r="H467" s="344" t="s">
        <v>70</v>
      </c>
      <c r="I467" s="513"/>
    </row>
    <row r="468" spans="1:9" s="2" customFormat="1" ht="25.5" outlineLevel="1">
      <c r="A468" s="62" t="s">
        <v>457</v>
      </c>
      <c r="B468" s="56" t="s">
        <v>1009</v>
      </c>
      <c r="C468" s="219" t="s">
        <v>1224</v>
      </c>
      <c r="D468" s="338" t="s">
        <v>316</v>
      </c>
      <c r="E468" s="47">
        <f>G4*714.79</f>
        <v>714.79</v>
      </c>
      <c r="F468" s="48"/>
      <c r="G468" s="49">
        <v>0</v>
      </c>
      <c r="H468" s="344" t="s">
        <v>70</v>
      </c>
    </row>
    <row r="469" spans="1:9" s="2" customFormat="1" ht="63.75" outlineLevel="1">
      <c r="A469" s="62" t="s">
        <v>458</v>
      </c>
      <c r="B469" s="79" t="s">
        <v>631</v>
      </c>
      <c r="C469" s="219" t="s">
        <v>1225</v>
      </c>
      <c r="D469" s="338" t="s">
        <v>42</v>
      </c>
      <c r="E469" s="47">
        <f>G4*694.46</f>
        <v>694.46</v>
      </c>
      <c r="F469" s="48"/>
      <c r="G469" s="49">
        <f>G4*68.82</f>
        <v>68.819999999999993</v>
      </c>
      <c r="H469" s="344" t="s">
        <v>70</v>
      </c>
    </row>
    <row r="470" spans="1:9" s="2" customFormat="1" ht="51" outlineLevel="1">
      <c r="A470" s="62" t="s">
        <v>459</v>
      </c>
      <c r="B470" s="147" t="s">
        <v>1029</v>
      </c>
      <c r="C470" s="147" t="s">
        <v>1226</v>
      </c>
      <c r="D470" s="340" t="s">
        <v>42</v>
      </c>
      <c r="E470" s="186">
        <f>G4*4453.28</f>
        <v>4453.28</v>
      </c>
      <c r="F470" s="48"/>
      <c r="G470" s="187">
        <f>G4*489.86</f>
        <v>489.86</v>
      </c>
      <c r="H470" s="344" t="s">
        <v>70</v>
      </c>
    </row>
    <row r="471" spans="1:9" s="2" customFormat="1" ht="38.25" outlineLevel="1">
      <c r="A471" s="62" t="s">
        <v>460</v>
      </c>
      <c r="B471" s="147" t="s">
        <v>64</v>
      </c>
      <c r="C471" s="147" t="s">
        <v>70</v>
      </c>
      <c r="D471" s="340" t="s">
        <v>55</v>
      </c>
      <c r="E471" s="187" t="s">
        <v>688</v>
      </c>
      <c r="F471" s="48"/>
      <c r="G471" s="187" t="s">
        <v>70</v>
      </c>
      <c r="H471" s="345" t="s">
        <v>846</v>
      </c>
    </row>
    <row r="472" spans="1:9" s="2" customFormat="1" ht="40.15" customHeight="1" outlineLevel="1">
      <c r="A472" s="526" t="s">
        <v>1427</v>
      </c>
      <c r="B472" s="526"/>
      <c r="C472" s="527"/>
      <c r="D472" s="254"/>
      <c r="E472" s="75"/>
      <c r="F472" s="76"/>
      <c r="G472" s="77"/>
      <c r="H472" s="255" t="s">
        <v>70</v>
      </c>
      <c r="I472" s="513"/>
    </row>
    <row r="473" spans="1:9" s="2" customFormat="1" ht="89.25" outlineLevel="1">
      <c r="A473" s="62" t="s">
        <v>461</v>
      </c>
      <c r="B473" s="147" t="s">
        <v>238</v>
      </c>
      <c r="C473" s="147" t="s">
        <v>239</v>
      </c>
      <c r="D473" s="291" t="s">
        <v>240</v>
      </c>
      <c r="E473" s="190">
        <f>G4*36640.13</f>
        <v>36640.129999999997</v>
      </c>
      <c r="F473" s="48"/>
      <c r="G473" s="141">
        <f>G4*36640.13</f>
        <v>36640.129999999997</v>
      </c>
      <c r="H473" s="66" t="s">
        <v>512</v>
      </c>
    </row>
    <row r="474" spans="1:9" s="2" customFormat="1" ht="51" outlineLevel="1">
      <c r="A474" s="62" t="s">
        <v>462</v>
      </c>
      <c r="B474" s="147" t="s">
        <v>241</v>
      </c>
      <c r="C474" s="147" t="s">
        <v>242</v>
      </c>
      <c r="D474" s="291" t="s">
        <v>243</v>
      </c>
      <c r="E474" s="190">
        <f>G4*29697.63</f>
        <v>29697.63</v>
      </c>
      <c r="F474" s="48"/>
      <c r="G474" s="141">
        <f>G4*29697.63</f>
        <v>29697.63</v>
      </c>
      <c r="H474" s="66" t="s">
        <v>512</v>
      </c>
    </row>
    <row r="475" spans="1:9" s="2" customFormat="1" ht="76.5" outlineLevel="1">
      <c r="A475" s="62" t="s">
        <v>463</v>
      </c>
      <c r="B475" s="147" t="s">
        <v>244</v>
      </c>
      <c r="C475" s="147" t="s">
        <v>245</v>
      </c>
      <c r="D475" s="291" t="s">
        <v>246</v>
      </c>
      <c r="E475" s="190">
        <f>G4*15381.12</f>
        <v>15381.12</v>
      </c>
      <c r="F475" s="48"/>
      <c r="G475" s="141">
        <f>G4*15381.12</f>
        <v>15381.12</v>
      </c>
      <c r="H475" s="66" t="s">
        <v>511</v>
      </c>
    </row>
    <row r="476" spans="1:9" s="2" customFormat="1" ht="51" outlineLevel="1">
      <c r="A476" s="62" t="s">
        <v>574</v>
      </c>
      <c r="B476" s="147" t="s">
        <v>247</v>
      </c>
      <c r="C476" s="147" t="s">
        <v>248</v>
      </c>
      <c r="D476" s="291" t="s">
        <v>1</v>
      </c>
      <c r="E476" s="292">
        <f>G4*1245.01</f>
        <v>1245.01</v>
      </c>
      <c r="F476" s="48"/>
      <c r="G476" s="49">
        <v>0</v>
      </c>
      <c r="H476" s="66" t="s">
        <v>511</v>
      </c>
    </row>
    <row r="477" spans="1:9" s="2" customFormat="1" ht="51" outlineLevel="1">
      <c r="A477" s="62" t="s">
        <v>575</v>
      </c>
      <c r="B477" s="147" t="s">
        <v>23</v>
      </c>
      <c r="C477" s="147" t="s">
        <v>91</v>
      </c>
      <c r="D477" s="185" t="s">
        <v>54</v>
      </c>
      <c r="E477" s="186">
        <f>G4*26793.45</f>
        <v>26793.45</v>
      </c>
      <c r="F477" s="48"/>
      <c r="G477" s="187">
        <f>G4*6430.43</f>
        <v>6430.43</v>
      </c>
      <c r="H477" s="147" t="s">
        <v>70</v>
      </c>
    </row>
    <row r="478" spans="1:9" s="2" customFormat="1" ht="25.5" outlineLevel="1">
      <c r="A478" s="62" t="s">
        <v>576</v>
      </c>
      <c r="B478" s="147" t="s">
        <v>194</v>
      </c>
      <c r="C478" s="147" t="s">
        <v>1200</v>
      </c>
      <c r="D478" s="291" t="s">
        <v>1</v>
      </c>
      <c r="E478" s="47">
        <f>G4*353.78</f>
        <v>353.78</v>
      </c>
      <c r="F478" s="48"/>
      <c r="G478" s="49">
        <f>G4*36.49</f>
        <v>36.49</v>
      </c>
      <c r="H478" s="66" t="s">
        <v>511</v>
      </c>
    </row>
    <row r="479" spans="1:9" s="2" customFormat="1" ht="38.25" outlineLevel="1">
      <c r="A479" s="62" t="s">
        <v>577</v>
      </c>
      <c r="B479" s="147" t="s">
        <v>187</v>
      </c>
      <c r="C479" s="147" t="s">
        <v>1227</v>
      </c>
      <c r="D479" s="291" t="s">
        <v>1</v>
      </c>
      <c r="E479" s="292">
        <f>G4*335.36</f>
        <v>335.36</v>
      </c>
      <c r="F479" s="48"/>
      <c r="G479" s="49">
        <v>0</v>
      </c>
      <c r="H479" s="66" t="s">
        <v>511</v>
      </c>
    </row>
    <row r="480" spans="1:9" s="2" customFormat="1" ht="38.25" outlineLevel="1">
      <c r="A480" s="62" t="s">
        <v>578</v>
      </c>
      <c r="B480" s="147" t="s">
        <v>56</v>
      </c>
      <c r="C480" s="147" t="s">
        <v>159</v>
      </c>
      <c r="D480" s="185" t="s">
        <v>57</v>
      </c>
      <c r="E480" s="186">
        <f>G4*504.08</f>
        <v>504.08</v>
      </c>
      <c r="F480" s="48"/>
      <c r="G480" s="187">
        <f>G4*50.41</f>
        <v>50.41</v>
      </c>
      <c r="H480" s="147" t="s">
        <v>70</v>
      </c>
    </row>
    <row r="481" spans="1:9" s="2" customFormat="1" ht="38.25" outlineLevel="1">
      <c r="A481" s="62" t="s">
        <v>937</v>
      </c>
      <c r="B481" s="147" t="s">
        <v>1228</v>
      </c>
      <c r="C481" s="147" t="s">
        <v>957</v>
      </c>
      <c r="D481" s="291" t="s">
        <v>1</v>
      </c>
      <c r="E481" s="186">
        <f>G4*349.08</f>
        <v>349.08</v>
      </c>
      <c r="F481" s="48"/>
      <c r="G481" s="187">
        <f>G4*34.91</f>
        <v>34.909999999999997</v>
      </c>
      <c r="H481" s="147" t="s">
        <v>70</v>
      </c>
    </row>
    <row r="482" spans="1:9" s="2" customFormat="1" ht="51" outlineLevel="1">
      <c r="A482" s="62" t="s">
        <v>579</v>
      </c>
      <c r="B482" s="189" t="s">
        <v>1229</v>
      </c>
      <c r="C482" s="147" t="s">
        <v>1047</v>
      </c>
      <c r="D482" s="139" t="s">
        <v>725</v>
      </c>
      <c r="E482" s="292">
        <f>G4*630.12</f>
        <v>630.12</v>
      </c>
      <c r="F482" s="48"/>
      <c r="G482" s="49">
        <f>G4*63.19</f>
        <v>63.19</v>
      </c>
      <c r="H482" s="66" t="s">
        <v>511</v>
      </c>
    </row>
    <row r="483" spans="1:9" s="2" customFormat="1" ht="51" outlineLevel="1">
      <c r="A483" s="62" t="s">
        <v>580</v>
      </c>
      <c r="B483" s="189" t="s">
        <v>1230</v>
      </c>
      <c r="C483" s="147" t="s">
        <v>1048</v>
      </c>
      <c r="D483" s="139" t="s">
        <v>726</v>
      </c>
      <c r="E483" s="292">
        <f>G4*465.47</f>
        <v>465.47</v>
      </c>
      <c r="F483" s="48"/>
      <c r="G483" s="49">
        <f>G4*46.28</f>
        <v>46.28</v>
      </c>
      <c r="H483" s="66" t="s">
        <v>511</v>
      </c>
    </row>
    <row r="484" spans="1:9" s="2" customFormat="1" ht="63.75" outlineLevel="1">
      <c r="A484" s="62" t="s">
        <v>581</v>
      </c>
      <c r="B484" s="56" t="s">
        <v>1231</v>
      </c>
      <c r="C484" s="147" t="s">
        <v>328</v>
      </c>
      <c r="D484" s="139" t="s">
        <v>59</v>
      </c>
      <c r="E484" s="346">
        <f>G4*86.52</f>
        <v>86.52</v>
      </c>
      <c r="F484" s="48"/>
      <c r="G484" s="315">
        <f>G4*8.65</f>
        <v>8.65</v>
      </c>
      <c r="H484" s="144" t="s">
        <v>70</v>
      </c>
    </row>
    <row r="485" spans="1:9" s="2" customFormat="1" ht="63.75" outlineLevel="1">
      <c r="A485" s="62" t="s">
        <v>582</v>
      </c>
      <c r="B485" s="56" t="s">
        <v>1232</v>
      </c>
      <c r="C485" s="147" t="s">
        <v>330</v>
      </c>
      <c r="D485" s="139" t="s">
        <v>59</v>
      </c>
      <c r="E485" s="314">
        <f>G4*122.82</f>
        <v>122.82</v>
      </c>
      <c r="F485" s="48"/>
      <c r="G485" s="315">
        <f>G4*12.28</f>
        <v>12.28</v>
      </c>
      <c r="H485" s="144" t="s">
        <v>70</v>
      </c>
      <c r="I485" s="513"/>
    </row>
    <row r="486" spans="1:9" s="2" customFormat="1" ht="63.75" outlineLevel="1">
      <c r="A486" s="62" t="s">
        <v>583</v>
      </c>
      <c r="B486" s="56" t="s">
        <v>1233</v>
      </c>
      <c r="C486" s="147" t="s">
        <v>332</v>
      </c>
      <c r="D486" s="139" t="s">
        <v>59</v>
      </c>
      <c r="E486" s="314">
        <f>G4*145.96</f>
        <v>145.96</v>
      </c>
      <c r="F486" s="48"/>
      <c r="G486" s="315">
        <f>G4*14.6</f>
        <v>14.6</v>
      </c>
      <c r="H486" s="144" t="s">
        <v>70</v>
      </c>
    </row>
    <row r="487" spans="1:9" s="2" customFormat="1" ht="63.75" outlineLevel="1">
      <c r="A487" s="62" t="s">
        <v>584</v>
      </c>
      <c r="B487" s="56" t="s">
        <v>1234</v>
      </c>
      <c r="C487" s="219" t="s">
        <v>334</v>
      </c>
      <c r="D487" s="139" t="s">
        <v>59</v>
      </c>
      <c r="E487" s="314">
        <f>G4*112.14</f>
        <v>112.14</v>
      </c>
      <c r="F487" s="48"/>
      <c r="G487" s="315">
        <f>G4*11.21</f>
        <v>11.21</v>
      </c>
      <c r="H487" s="144" t="s">
        <v>70</v>
      </c>
    </row>
    <row r="488" spans="1:9" s="2" customFormat="1" ht="63.75" outlineLevel="1">
      <c r="A488" s="62" t="s">
        <v>585</v>
      </c>
      <c r="B488" s="56" t="s">
        <v>1235</v>
      </c>
      <c r="C488" s="219" t="s">
        <v>336</v>
      </c>
      <c r="D488" s="139" t="s">
        <v>59</v>
      </c>
      <c r="E488" s="314">
        <f>G4*134.39</f>
        <v>134.38999999999999</v>
      </c>
      <c r="F488" s="48"/>
      <c r="G488" s="315">
        <f>G4*13.44</f>
        <v>13.44</v>
      </c>
      <c r="H488" s="144" t="s">
        <v>70</v>
      </c>
    </row>
    <row r="489" spans="1:9" s="2" customFormat="1" ht="51" outlineLevel="1">
      <c r="A489" s="62" t="s">
        <v>586</v>
      </c>
      <c r="B489" s="147" t="s">
        <v>1236</v>
      </c>
      <c r="C489" s="147" t="s">
        <v>67</v>
      </c>
      <c r="D489" s="185" t="s">
        <v>59</v>
      </c>
      <c r="E489" s="186">
        <f>G4*186.9</f>
        <v>186.9</v>
      </c>
      <c r="F489" s="48"/>
      <c r="G489" s="187">
        <f>G4*20.56</f>
        <v>20.56</v>
      </c>
      <c r="H489" s="209" t="s">
        <v>1237</v>
      </c>
    </row>
    <row r="490" spans="1:9" s="2" customFormat="1" ht="102" outlineLevel="1">
      <c r="A490" s="62" t="s">
        <v>741</v>
      </c>
      <c r="B490" s="56" t="s">
        <v>1238</v>
      </c>
      <c r="C490" s="56" t="s">
        <v>1240</v>
      </c>
      <c r="D490" s="218" t="s">
        <v>59</v>
      </c>
      <c r="E490" s="186">
        <f>G4*828.31</f>
        <v>828.31</v>
      </c>
      <c r="F490" s="48"/>
      <c r="G490" s="187">
        <f>G4*68.58</f>
        <v>68.58</v>
      </c>
      <c r="H490" s="211" t="s">
        <v>864</v>
      </c>
    </row>
    <row r="491" spans="1:9" s="2" customFormat="1" ht="51" outlineLevel="1">
      <c r="A491" s="62" t="s">
        <v>742</v>
      </c>
      <c r="B491" s="147" t="s">
        <v>1241</v>
      </c>
      <c r="C491" s="147" t="s">
        <v>67</v>
      </c>
      <c r="D491" s="185" t="s">
        <v>59</v>
      </c>
      <c r="E491" s="186">
        <f>G4*44.07</f>
        <v>44.07</v>
      </c>
      <c r="F491" s="48"/>
      <c r="G491" s="187">
        <f>G4*3.04</f>
        <v>3.04</v>
      </c>
      <c r="H491" s="209" t="s">
        <v>1239</v>
      </c>
    </row>
    <row r="492" spans="1:9" s="2" customFormat="1" ht="51" outlineLevel="1">
      <c r="A492" s="62" t="s">
        <v>743</v>
      </c>
      <c r="B492" s="147" t="s">
        <v>1242</v>
      </c>
      <c r="C492" s="147" t="s">
        <v>67</v>
      </c>
      <c r="D492" s="185" t="s">
        <v>59</v>
      </c>
      <c r="E492" s="186">
        <f>G4*33.06</f>
        <v>33.06</v>
      </c>
      <c r="F492" s="48"/>
      <c r="G492" s="187">
        <f>G4*3.04</f>
        <v>3.04</v>
      </c>
      <c r="H492" s="209" t="s">
        <v>1239</v>
      </c>
    </row>
    <row r="493" spans="1:9" s="2" customFormat="1" ht="15.75" outlineLevel="1">
      <c r="A493" s="225"/>
      <c r="B493" s="150"/>
      <c r="C493" s="150"/>
      <c r="D493" s="270"/>
      <c r="E493" s="229"/>
      <c r="F493" s="230"/>
      <c r="G493" s="231"/>
      <c r="H493" s="347"/>
    </row>
    <row r="494" spans="1:9" s="2" customFormat="1" ht="15.75" outlineLevel="1">
      <c r="A494" s="233" t="s">
        <v>1381</v>
      </c>
      <c r="B494" s="158"/>
      <c r="C494" s="158"/>
      <c r="D494" s="273"/>
      <c r="E494" s="237"/>
      <c r="F494" s="238"/>
      <c r="G494" s="239"/>
      <c r="H494" s="348"/>
    </row>
    <row r="495" spans="1:9" s="2" customFormat="1" ht="15.75" outlineLevel="1">
      <c r="A495" s="241" t="s">
        <v>1411</v>
      </c>
      <c r="B495" s="158"/>
      <c r="C495" s="158"/>
      <c r="D495" s="273"/>
      <c r="E495" s="237"/>
      <c r="F495" s="238"/>
      <c r="G495" s="239"/>
      <c r="H495" s="348"/>
    </row>
    <row r="496" spans="1:9" s="2" customFormat="1" ht="15.75" outlineLevel="1">
      <c r="A496" s="241" t="s">
        <v>1412</v>
      </c>
      <c r="B496" s="158"/>
      <c r="C496" s="158"/>
      <c r="D496" s="273"/>
      <c r="E496" s="237"/>
      <c r="F496" s="238"/>
      <c r="G496" s="239"/>
      <c r="H496" s="348"/>
    </row>
    <row r="497" spans="1:9" s="2" customFormat="1" ht="15.75" outlineLevel="1">
      <c r="A497" s="241" t="s">
        <v>1749</v>
      </c>
      <c r="B497" s="158"/>
      <c r="C497" s="158"/>
      <c r="D497" s="273"/>
      <c r="E497" s="237"/>
      <c r="F497" s="238"/>
      <c r="G497" s="239"/>
      <c r="H497" s="348"/>
    </row>
    <row r="498" spans="1:9" s="2" customFormat="1" ht="15.75" outlineLevel="1">
      <c r="A498" s="349"/>
      <c r="B498" s="167"/>
      <c r="C498" s="167"/>
      <c r="D498" s="277"/>
      <c r="E498" s="247"/>
      <c r="F498" s="248"/>
      <c r="G498" s="249"/>
      <c r="H498" s="350"/>
    </row>
    <row r="499" spans="1:9" s="2" customFormat="1" ht="40.15" customHeight="1">
      <c r="A499" s="70">
        <v>7</v>
      </c>
      <c r="B499" s="524" t="s">
        <v>1243</v>
      </c>
      <c r="C499" s="524"/>
      <c r="D499" s="32"/>
      <c r="E499" s="351"/>
      <c r="F499" s="352"/>
      <c r="G499" s="353"/>
      <c r="H499" s="354"/>
      <c r="I499" s="513"/>
    </row>
    <row r="500" spans="1:9" s="2" customFormat="1" ht="40.15" customHeight="1" outlineLevel="1">
      <c r="A500" s="528" t="s">
        <v>1428</v>
      </c>
      <c r="B500" s="528"/>
      <c r="C500" s="529"/>
      <c r="D500" s="32"/>
      <c r="E500" s="351"/>
      <c r="F500" s="352"/>
      <c r="G500" s="355"/>
      <c r="H500" s="356"/>
    </row>
    <row r="501" spans="1:9" s="2" customFormat="1" ht="242.25" outlineLevel="1">
      <c r="A501" s="215" t="s">
        <v>464</v>
      </c>
      <c r="B501" s="220" t="s">
        <v>133</v>
      </c>
      <c r="C501" s="220" t="s">
        <v>1244</v>
      </c>
      <c r="D501" s="185" t="s">
        <v>134</v>
      </c>
      <c r="E501" s="186">
        <f>G4*8380.46</f>
        <v>8380.4599999999991</v>
      </c>
      <c r="F501" s="48"/>
      <c r="G501" s="187">
        <f>G4*8380.46</f>
        <v>8380.4599999999991</v>
      </c>
      <c r="H501" s="209" t="s">
        <v>141</v>
      </c>
    </row>
    <row r="502" spans="1:9" s="2" customFormat="1" ht="76.5" outlineLevel="1">
      <c r="A502" s="215" t="s">
        <v>465</v>
      </c>
      <c r="B502" s="220" t="s">
        <v>77</v>
      </c>
      <c r="C502" s="220" t="s">
        <v>130</v>
      </c>
      <c r="D502" s="185" t="s">
        <v>43</v>
      </c>
      <c r="E502" s="186">
        <f>G4*12008.66</f>
        <v>12008.66</v>
      </c>
      <c r="F502" s="48"/>
      <c r="G502" s="187">
        <f>G4*12008.66</f>
        <v>12008.66</v>
      </c>
      <c r="H502" s="209" t="s">
        <v>162</v>
      </c>
    </row>
    <row r="503" spans="1:9" s="2" customFormat="1" ht="102" outlineLevel="1">
      <c r="A503" s="215" t="s">
        <v>466</v>
      </c>
      <c r="B503" s="220" t="s">
        <v>135</v>
      </c>
      <c r="C503" s="220" t="s">
        <v>136</v>
      </c>
      <c r="D503" s="185" t="s">
        <v>134</v>
      </c>
      <c r="E503" s="186">
        <f>G4*4866.08</f>
        <v>4866.08</v>
      </c>
      <c r="F503" s="48"/>
      <c r="G503" s="187">
        <f>G4*4866.08</f>
        <v>4866.08</v>
      </c>
      <c r="H503" s="209" t="s">
        <v>70</v>
      </c>
    </row>
    <row r="504" spans="1:9" s="2" customFormat="1" ht="140.25" outlineLevel="1">
      <c r="A504" s="215" t="s">
        <v>467</v>
      </c>
      <c r="B504" s="220" t="s">
        <v>1245</v>
      </c>
      <c r="C504" s="220" t="s">
        <v>137</v>
      </c>
      <c r="D504" s="185" t="s">
        <v>134</v>
      </c>
      <c r="E504" s="186">
        <f>G4*13396.73</f>
        <v>13396.73</v>
      </c>
      <c r="F504" s="48"/>
      <c r="G504" s="187">
        <f>G4*13396.73</f>
        <v>13396.73</v>
      </c>
      <c r="H504" s="209" t="s">
        <v>70</v>
      </c>
    </row>
    <row r="505" spans="1:9" s="2" customFormat="1" ht="89.25" outlineLevel="1">
      <c r="A505" s="215" t="s">
        <v>468</v>
      </c>
      <c r="B505" s="220" t="s">
        <v>1363</v>
      </c>
      <c r="C505" s="220" t="s">
        <v>1049</v>
      </c>
      <c r="D505" s="185" t="s">
        <v>134</v>
      </c>
      <c r="E505" s="186">
        <f>G4*17662.05</f>
        <v>17662.05</v>
      </c>
      <c r="F505" s="48"/>
      <c r="G505" s="187">
        <f>G4*17662.05</f>
        <v>17662.05</v>
      </c>
      <c r="H505" s="209" t="s">
        <v>70</v>
      </c>
    </row>
    <row r="506" spans="1:9" s="2" customFormat="1" ht="89.25" outlineLevel="1">
      <c r="A506" s="215" t="s">
        <v>469</v>
      </c>
      <c r="B506" s="220" t="s">
        <v>1246</v>
      </c>
      <c r="C506" s="220" t="s">
        <v>138</v>
      </c>
      <c r="D506" s="185" t="s">
        <v>134</v>
      </c>
      <c r="E506" s="186">
        <f>G4*39361.14</f>
        <v>39361.14</v>
      </c>
      <c r="F506" s="48"/>
      <c r="G506" s="187">
        <f>G4*39361.14</f>
        <v>39361.14</v>
      </c>
      <c r="H506" s="209" t="s">
        <v>612</v>
      </c>
    </row>
    <row r="507" spans="1:9" s="2" customFormat="1" ht="153" outlineLevel="1">
      <c r="A507" s="215" t="s">
        <v>470</v>
      </c>
      <c r="B507" s="220" t="s">
        <v>139</v>
      </c>
      <c r="C507" s="220" t="s">
        <v>140</v>
      </c>
      <c r="D507" s="185" t="s">
        <v>134</v>
      </c>
      <c r="E507" s="186">
        <f>G4*27250.02</f>
        <v>27250.02</v>
      </c>
      <c r="F507" s="48"/>
      <c r="G507" s="187">
        <f>G4*27250.02</f>
        <v>27250.02</v>
      </c>
      <c r="H507" s="209" t="s">
        <v>612</v>
      </c>
    </row>
    <row r="508" spans="1:9" s="2" customFormat="1" ht="153" outlineLevel="1">
      <c r="A508" s="215" t="s">
        <v>471</v>
      </c>
      <c r="B508" s="220" t="s">
        <v>44</v>
      </c>
      <c r="C508" s="220" t="s">
        <v>613</v>
      </c>
      <c r="D508" s="185" t="s">
        <v>43</v>
      </c>
      <c r="E508" s="186">
        <f>G4*4885.54</f>
        <v>4885.54</v>
      </c>
      <c r="F508" s="48"/>
      <c r="G508" s="187">
        <f>G4*4885.54</f>
        <v>4885.54</v>
      </c>
      <c r="H508" s="209" t="s">
        <v>142</v>
      </c>
    </row>
    <row r="509" spans="1:9" s="2" customFormat="1" ht="40.15" customHeight="1" outlineLevel="1">
      <c r="A509" s="357" t="s">
        <v>1429</v>
      </c>
      <c r="B509" s="358"/>
      <c r="C509" s="359"/>
      <c r="D509" s="251"/>
      <c r="E509" s="252"/>
      <c r="F509" s="360"/>
      <c r="G509" s="361"/>
      <c r="H509" s="362" t="s">
        <v>70</v>
      </c>
      <c r="I509" s="513"/>
    </row>
    <row r="510" spans="1:9" s="2" customFormat="1" ht="40.15" customHeight="1" outlineLevel="1">
      <c r="A510" s="363" t="s">
        <v>1364</v>
      </c>
      <c r="B510" s="364"/>
      <c r="C510" s="365"/>
      <c r="D510" s="365"/>
      <c r="E510" s="366"/>
      <c r="F510" s="367"/>
      <c r="G510" s="368"/>
      <c r="H510" s="362" t="s">
        <v>70</v>
      </c>
      <c r="I510" s="513"/>
    </row>
    <row r="511" spans="1:9" s="2" customFormat="1" ht="63.75" outlineLevel="1">
      <c r="A511" s="215" t="s">
        <v>472</v>
      </c>
      <c r="B511" s="147" t="s">
        <v>1247</v>
      </c>
      <c r="C511" s="147" t="s">
        <v>1249</v>
      </c>
      <c r="D511" s="185" t="s">
        <v>42</v>
      </c>
      <c r="E511" s="186">
        <f>G4*4453.28</f>
        <v>4453.28</v>
      </c>
      <c r="F511" s="48"/>
      <c r="G511" s="187">
        <v>0</v>
      </c>
      <c r="H511" s="362" t="s">
        <v>70</v>
      </c>
    </row>
    <row r="512" spans="1:9" s="2" customFormat="1" ht="114.75" outlineLevel="1">
      <c r="A512" s="215" t="s">
        <v>473</v>
      </c>
      <c r="B512" s="147" t="s">
        <v>1248</v>
      </c>
      <c r="C512" s="147" t="s">
        <v>1250</v>
      </c>
      <c r="D512" s="185" t="s">
        <v>42</v>
      </c>
      <c r="E512" s="186">
        <f>G4*13041.69</f>
        <v>13041.69</v>
      </c>
      <c r="F512" s="48"/>
      <c r="G512" s="187">
        <v>0</v>
      </c>
      <c r="H512" s="362" t="s">
        <v>70</v>
      </c>
    </row>
    <row r="513" spans="1:9" s="2" customFormat="1" ht="63.75" outlineLevel="1">
      <c r="A513" s="215" t="s">
        <v>474</v>
      </c>
      <c r="B513" s="147" t="s">
        <v>1251</v>
      </c>
      <c r="C513" s="147" t="s">
        <v>1253</v>
      </c>
      <c r="D513" s="185" t="s">
        <v>42</v>
      </c>
      <c r="E513" s="186">
        <f>G4*5415.58</f>
        <v>5415.58</v>
      </c>
      <c r="F513" s="48"/>
      <c r="G513" s="187">
        <v>0</v>
      </c>
      <c r="H513" s="362" t="s">
        <v>70</v>
      </c>
    </row>
    <row r="514" spans="1:9" s="2" customFormat="1" ht="114.75" outlineLevel="1">
      <c r="A514" s="215" t="s">
        <v>475</v>
      </c>
      <c r="B514" s="147" t="s">
        <v>1252</v>
      </c>
      <c r="C514" s="147" t="s">
        <v>1254</v>
      </c>
      <c r="D514" s="185" t="s">
        <v>42</v>
      </c>
      <c r="E514" s="186">
        <f>G4*13310.95</f>
        <v>13310.95</v>
      </c>
      <c r="F514" s="48"/>
      <c r="G514" s="187">
        <v>0</v>
      </c>
      <c r="H514" s="362" t="s">
        <v>70</v>
      </c>
    </row>
    <row r="515" spans="1:9" s="2" customFormat="1" ht="51" outlineLevel="1">
      <c r="A515" s="215" t="s">
        <v>476</v>
      </c>
      <c r="B515" s="147" t="s">
        <v>131</v>
      </c>
      <c r="C515" s="147" t="s">
        <v>143</v>
      </c>
      <c r="D515" s="185" t="s">
        <v>46</v>
      </c>
      <c r="E515" s="186">
        <f>G4*19756.9</f>
        <v>19756.900000000001</v>
      </c>
      <c r="F515" s="48"/>
      <c r="G515" s="187">
        <v>0</v>
      </c>
      <c r="H515" s="362" t="s">
        <v>70</v>
      </c>
    </row>
    <row r="516" spans="1:9" s="2" customFormat="1" ht="40.15" customHeight="1" outlineLevel="1">
      <c r="A516" s="363" t="s">
        <v>1440</v>
      </c>
      <c r="B516" s="364"/>
      <c r="C516" s="365"/>
      <c r="D516" s="365"/>
      <c r="E516" s="366"/>
      <c r="F516" s="367"/>
      <c r="G516" s="368"/>
      <c r="H516" s="362" t="s">
        <v>70</v>
      </c>
      <c r="I516" s="513"/>
    </row>
    <row r="517" spans="1:9" s="2" customFormat="1" ht="293.25" outlineLevel="1">
      <c r="A517" s="215" t="s">
        <v>477</v>
      </c>
      <c r="B517" s="147" t="s">
        <v>45</v>
      </c>
      <c r="C517" s="147" t="s">
        <v>1255</v>
      </c>
      <c r="D517" s="185" t="s">
        <v>134</v>
      </c>
      <c r="E517" s="186">
        <f>G4*14633.08</f>
        <v>14633.08</v>
      </c>
      <c r="F517" s="48"/>
      <c r="G517" s="187">
        <v>0</v>
      </c>
      <c r="H517" s="362" t="s">
        <v>70</v>
      </c>
    </row>
    <row r="518" spans="1:9" s="2" customFormat="1" ht="140.25" outlineLevel="1">
      <c r="A518" s="215" t="s">
        <v>478</v>
      </c>
      <c r="B518" s="147" t="s">
        <v>1256</v>
      </c>
      <c r="C518" s="147" t="s">
        <v>1257</v>
      </c>
      <c r="D518" s="185" t="s">
        <v>134</v>
      </c>
      <c r="E518" s="186">
        <f>G4*8030.83</f>
        <v>8030.83</v>
      </c>
      <c r="F518" s="48"/>
      <c r="G518" s="187">
        <v>0</v>
      </c>
      <c r="H518" s="362" t="s">
        <v>70</v>
      </c>
    </row>
    <row r="519" spans="1:9" s="2" customFormat="1" ht="40.15" customHeight="1" outlineLevel="1">
      <c r="A519" s="363" t="s">
        <v>1442</v>
      </c>
      <c r="B519" s="364"/>
      <c r="C519" s="365"/>
      <c r="D519" s="365"/>
      <c r="E519" s="366"/>
      <c r="F519" s="367"/>
      <c r="G519" s="368"/>
      <c r="H519" s="362" t="s">
        <v>70</v>
      </c>
      <c r="I519" s="513"/>
    </row>
    <row r="520" spans="1:9" s="2" customFormat="1" ht="51" outlineLevel="1">
      <c r="A520" s="216" t="s">
        <v>479</v>
      </c>
      <c r="B520" s="323" t="s">
        <v>8</v>
      </c>
      <c r="C520" s="257" t="s">
        <v>1258</v>
      </c>
      <c r="D520" s="323"/>
      <c r="E520" s="369"/>
      <c r="F520" s="370"/>
      <c r="G520" s="310"/>
      <c r="H520" s="362" t="s">
        <v>70</v>
      </c>
      <c r="I520" s="513"/>
    </row>
    <row r="521" spans="1:9" s="2" customFormat="1" ht="25.5" outlineLevel="1">
      <c r="A521" s="215" t="s">
        <v>664</v>
      </c>
      <c r="B521" s="213" t="s">
        <v>1259</v>
      </c>
      <c r="C521" s="371"/>
      <c r="D521" s="185" t="s">
        <v>7</v>
      </c>
      <c r="E521" s="372">
        <f>G4*118089.43</f>
        <v>118089.43</v>
      </c>
      <c r="F521" s="48"/>
      <c r="G521" s="187">
        <f>G4*20075.2</f>
        <v>20075.2</v>
      </c>
      <c r="H521" s="362" t="s">
        <v>70</v>
      </c>
    </row>
    <row r="522" spans="1:9" s="2" customFormat="1" ht="25.5" outlineLevel="1">
      <c r="A522" s="215" t="s">
        <v>665</v>
      </c>
      <c r="B522" s="213" t="s">
        <v>1260</v>
      </c>
      <c r="C522" s="205"/>
      <c r="D522" s="185" t="s">
        <v>7</v>
      </c>
      <c r="E522" s="372">
        <f>G4*150241.57</f>
        <v>150241.57</v>
      </c>
      <c r="F522" s="48"/>
      <c r="G522" s="187">
        <f>G4*28545.9</f>
        <v>28545.9</v>
      </c>
      <c r="H522" s="362" t="s">
        <v>70</v>
      </c>
    </row>
    <row r="523" spans="1:9" s="2" customFormat="1" ht="204" outlineLevel="1">
      <c r="A523" s="215" t="s">
        <v>480</v>
      </c>
      <c r="B523" s="205" t="s">
        <v>160</v>
      </c>
      <c r="C523" s="147" t="s">
        <v>614</v>
      </c>
      <c r="D523" s="185" t="s">
        <v>41</v>
      </c>
      <c r="E523" s="372">
        <f>G4*82537.65</f>
        <v>82537.649999999994</v>
      </c>
      <c r="F523" s="48"/>
      <c r="G523" s="187">
        <f>G4*12380.65</f>
        <v>12380.65</v>
      </c>
      <c r="H523" s="362" t="s">
        <v>70</v>
      </c>
    </row>
    <row r="524" spans="1:9" s="2" customFormat="1" ht="40.15" customHeight="1" outlineLevel="1">
      <c r="A524" s="363" t="s">
        <v>1441</v>
      </c>
      <c r="B524" s="373"/>
      <c r="C524" s="374"/>
      <c r="D524" s="374"/>
      <c r="E524" s="375"/>
      <c r="F524" s="376"/>
      <c r="G524" s="377"/>
      <c r="H524" s="362" t="s">
        <v>70</v>
      </c>
      <c r="I524" s="513"/>
    </row>
    <row r="525" spans="1:9" s="2" customFormat="1" ht="51" outlineLevel="1">
      <c r="A525" s="216" t="s">
        <v>481</v>
      </c>
      <c r="B525" s="257" t="s">
        <v>147</v>
      </c>
      <c r="C525" s="257" t="s">
        <v>148</v>
      </c>
      <c r="D525" s="192"/>
      <c r="E525" s="378"/>
      <c r="F525" s="379"/>
      <c r="G525" s="380"/>
      <c r="H525" s="362" t="s">
        <v>70</v>
      </c>
      <c r="I525" s="513"/>
    </row>
    <row r="526" spans="1:9" s="2" customFormat="1" ht="25.5" outlineLevel="1">
      <c r="A526" s="215" t="s">
        <v>666</v>
      </c>
      <c r="B526" s="381" t="s">
        <v>1261</v>
      </c>
      <c r="C526" s="220"/>
      <c r="D526" s="185" t="s">
        <v>7</v>
      </c>
      <c r="E526" s="372">
        <f>G4*119549.25</f>
        <v>119549.25</v>
      </c>
      <c r="F526" s="48"/>
      <c r="G526" s="187">
        <f>G4*17932.39</f>
        <v>17932.39</v>
      </c>
      <c r="H526" s="362" t="s">
        <v>70</v>
      </c>
    </row>
    <row r="527" spans="1:9" s="2" customFormat="1" ht="25.5" outlineLevel="1">
      <c r="A527" s="215" t="s">
        <v>667</v>
      </c>
      <c r="B527" s="381" t="s">
        <v>1262</v>
      </c>
      <c r="C527" s="220"/>
      <c r="D527" s="185" t="s">
        <v>7</v>
      </c>
      <c r="E527" s="372">
        <f>G4*228285</f>
        <v>228285</v>
      </c>
      <c r="F527" s="48"/>
      <c r="G527" s="187">
        <f>G4*34242.75</f>
        <v>34242.75</v>
      </c>
      <c r="H527" s="362" t="s">
        <v>70</v>
      </c>
    </row>
    <row r="528" spans="1:9" s="2" customFormat="1" ht="25.5" outlineLevel="1">
      <c r="A528" s="215" t="s">
        <v>668</v>
      </c>
      <c r="B528" s="381" t="s">
        <v>1263</v>
      </c>
      <c r="C528" s="220"/>
      <c r="D528" s="185" t="s">
        <v>7</v>
      </c>
      <c r="E528" s="372">
        <f>G4*252315</f>
        <v>252315</v>
      </c>
      <c r="F528" s="48"/>
      <c r="G528" s="187">
        <f>G4*37847.25</f>
        <v>37847.25</v>
      </c>
      <c r="H528" s="362" t="s">
        <v>70</v>
      </c>
    </row>
    <row r="529" spans="1:9" s="2" customFormat="1" ht="25.5" outlineLevel="1">
      <c r="A529" s="215" t="s">
        <v>669</v>
      </c>
      <c r="B529" s="381" t="s">
        <v>1264</v>
      </c>
      <c r="C529" s="220"/>
      <c r="D529" s="185" t="s">
        <v>7</v>
      </c>
      <c r="E529" s="372">
        <f>G4*276345</f>
        <v>276345</v>
      </c>
      <c r="F529" s="48"/>
      <c r="G529" s="187">
        <f>G4*41451.75</f>
        <v>41451.75</v>
      </c>
      <c r="H529" s="362" t="s">
        <v>70</v>
      </c>
    </row>
    <row r="530" spans="1:9" s="2" customFormat="1" ht="38.25" outlineLevel="1">
      <c r="A530" s="215" t="s">
        <v>482</v>
      </c>
      <c r="B530" s="220" t="s">
        <v>150</v>
      </c>
      <c r="C530" s="220" t="s">
        <v>764</v>
      </c>
      <c r="D530" s="185" t="s">
        <v>7</v>
      </c>
      <c r="E530" s="372">
        <f>G4*32182.18</f>
        <v>32182.18</v>
      </c>
      <c r="F530" s="48"/>
      <c r="G530" s="187">
        <f>G4*4183.69</f>
        <v>4183.6899999999996</v>
      </c>
      <c r="H530" s="362" t="s">
        <v>70</v>
      </c>
    </row>
    <row r="531" spans="1:9" s="2" customFormat="1" ht="40.15" customHeight="1" outlineLevel="1">
      <c r="A531" s="357" t="s">
        <v>1430</v>
      </c>
      <c r="B531" s="382"/>
      <c r="C531" s="383"/>
      <c r="D531" s="384"/>
      <c r="E531" s="385"/>
      <c r="F531" s="386"/>
      <c r="G531" s="387"/>
      <c r="H531" s="362" t="s">
        <v>70</v>
      </c>
      <c r="I531" s="513"/>
    </row>
    <row r="532" spans="1:9" s="2" customFormat="1" ht="25.5" outlineLevel="1">
      <c r="A532" s="215" t="s">
        <v>483</v>
      </c>
      <c r="B532" s="220" t="s">
        <v>763</v>
      </c>
      <c r="C532" s="220"/>
      <c r="D532" s="185" t="s">
        <v>42</v>
      </c>
      <c r="E532" s="388" t="s">
        <v>90</v>
      </c>
      <c r="F532" s="48"/>
      <c r="G532" s="187">
        <v>0</v>
      </c>
      <c r="H532" s="147" t="s">
        <v>70</v>
      </c>
    </row>
    <row r="533" spans="1:9" s="2" customFormat="1" ht="38.25" outlineLevel="1">
      <c r="A533" s="216" t="s">
        <v>484</v>
      </c>
      <c r="B533" s="257" t="s">
        <v>152</v>
      </c>
      <c r="C533" s="257" t="s">
        <v>155</v>
      </c>
      <c r="D533" s="192"/>
      <c r="E533" s="378"/>
      <c r="F533" s="379"/>
      <c r="G533" s="380"/>
      <c r="H533" s="211" t="s">
        <v>158</v>
      </c>
    </row>
    <row r="534" spans="1:9" s="2" customFormat="1" ht="15.75" outlineLevel="1">
      <c r="A534" s="215" t="s">
        <v>670</v>
      </c>
      <c r="B534" s="381" t="s">
        <v>1265</v>
      </c>
      <c r="C534" s="220"/>
      <c r="D534" s="185" t="s">
        <v>156</v>
      </c>
      <c r="E534" s="372">
        <f>G4*9083.34</f>
        <v>9083.34</v>
      </c>
      <c r="F534" s="48"/>
      <c r="G534" s="187">
        <v>0</v>
      </c>
      <c r="H534" s="209" t="s">
        <v>70</v>
      </c>
    </row>
    <row r="535" spans="1:9" s="2" customFormat="1" ht="15.75" outlineLevel="1">
      <c r="A535" s="215" t="s">
        <v>671</v>
      </c>
      <c r="B535" s="381" t="s">
        <v>1266</v>
      </c>
      <c r="C535" s="220"/>
      <c r="D535" s="185" t="s">
        <v>156</v>
      </c>
      <c r="E535" s="372">
        <f>G4*12111.12</f>
        <v>12111.12</v>
      </c>
      <c r="F535" s="48"/>
      <c r="G535" s="187">
        <v>0</v>
      </c>
      <c r="H535" s="209" t="s">
        <v>70</v>
      </c>
    </row>
    <row r="536" spans="1:9" s="2" customFormat="1" ht="15.75" outlineLevel="1">
      <c r="A536" s="215" t="s">
        <v>672</v>
      </c>
      <c r="B536" s="381" t="s">
        <v>1267</v>
      </c>
      <c r="C536" s="220"/>
      <c r="D536" s="185" t="s">
        <v>156</v>
      </c>
      <c r="E536" s="372">
        <f>G4*24222.24</f>
        <v>24222.240000000002</v>
      </c>
      <c r="F536" s="48"/>
      <c r="G536" s="187">
        <v>0</v>
      </c>
      <c r="H536" s="209" t="s">
        <v>70</v>
      </c>
    </row>
    <row r="537" spans="1:9" s="2" customFormat="1" ht="25.5" outlineLevel="1">
      <c r="A537" s="215" t="s">
        <v>485</v>
      </c>
      <c r="B537" s="220" t="s">
        <v>154</v>
      </c>
      <c r="C537" s="220" t="s">
        <v>157</v>
      </c>
      <c r="D537" s="185" t="s">
        <v>156</v>
      </c>
      <c r="E537" s="372">
        <f>G4*2094.29</f>
        <v>2094.29</v>
      </c>
      <c r="F537" s="48"/>
      <c r="G537" s="187">
        <v>0</v>
      </c>
      <c r="H537" s="209" t="s">
        <v>1753</v>
      </c>
    </row>
    <row r="538" spans="1:9" s="2" customFormat="1" ht="40.15" customHeight="1">
      <c r="A538" s="103">
        <v>8</v>
      </c>
      <c r="B538" s="525" t="s">
        <v>921</v>
      </c>
      <c r="C538" s="524"/>
      <c r="D538" s="389"/>
      <c r="E538" s="390"/>
      <c r="F538" s="391"/>
      <c r="G538" s="390"/>
      <c r="H538" s="392"/>
      <c r="I538" s="513"/>
    </row>
    <row r="539" spans="1:9" s="2" customFormat="1" ht="40.15" customHeight="1" outlineLevel="1">
      <c r="A539" s="528" t="s">
        <v>1431</v>
      </c>
      <c r="B539" s="528"/>
      <c r="C539" s="529"/>
      <c r="D539" s="251"/>
      <c r="E539" s="252"/>
      <c r="F539" s="177"/>
      <c r="G539" s="361"/>
      <c r="H539" s="393"/>
      <c r="I539" s="513"/>
    </row>
    <row r="540" spans="1:9" s="2" customFormat="1" ht="25.5" outlineLevel="1">
      <c r="A540" s="215" t="s">
        <v>486</v>
      </c>
      <c r="B540" s="147" t="s">
        <v>1754</v>
      </c>
      <c r="C540" s="147" t="s">
        <v>165</v>
      </c>
      <c r="D540" s="185" t="s">
        <v>166</v>
      </c>
      <c r="E540" s="186">
        <f>G4*379.98</f>
        <v>379.98</v>
      </c>
      <c r="F540" s="48"/>
      <c r="G540" s="49">
        <f>G4*379.98</f>
        <v>379.98</v>
      </c>
      <c r="H540" s="209" t="s">
        <v>626</v>
      </c>
    </row>
    <row r="541" spans="1:9" s="2" customFormat="1" ht="38.25" outlineLevel="1">
      <c r="A541" s="215" t="s">
        <v>487</v>
      </c>
      <c r="B541" s="147" t="s">
        <v>167</v>
      </c>
      <c r="C541" s="147" t="s">
        <v>168</v>
      </c>
      <c r="D541" s="185" t="s">
        <v>169</v>
      </c>
      <c r="E541" s="186">
        <f>G4*1972.14</f>
        <v>1972.14</v>
      </c>
      <c r="F541" s="48"/>
      <c r="G541" s="49">
        <f>G4*1972.14</f>
        <v>1972.14</v>
      </c>
      <c r="H541" s="209" t="s">
        <v>626</v>
      </c>
    </row>
    <row r="542" spans="1:9" s="2" customFormat="1" ht="40.15" customHeight="1" outlineLevel="1">
      <c r="A542" s="394" t="s">
        <v>1432</v>
      </c>
      <c r="B542" s="359"/>
      <c r="C542" s="395"/>
      <c r="D542" s="251"/>
      <c r="E542" s="252"/>
      <c r="F542" s="177"/>
      <c r="G542" s="361"/>
      <c r="H542" s="209" t="s">
        <v>626</v>
      </c>
      <c r="I542" s="513"/>
    </row>
    <row r="543" spans="1:9" s="2" customFormat="1" ht="25.5" outlineLevel="1">
      <c r="A543" s="215" t="s">
        <v>591</v>
      </c>
      <c r="B543" s="147" t="s">
        <v>1268</v>
      </c>
      <c r="C543" s="147" t="s">
        <v>1271</v>
      </c>
      <c r="D543" s="185" t="s">
        <v>94</v>
      </c>
      <c r="E543" s="199">
        <f>G4*(218.23-F543)+F543</f>
        <v>218.23</v>
      </c>
      <c r="F543" s="65">
        <v>187.95</v>
      </c>
      <c r="G543" s="284">
        <v>0</v>
      </c>
      <c r="H543" s="209" t="s">
        <v>626</v>
      </c>
    </row>
    <row r="544" spans="1:9" s="2" customFormat="1" ht="25.5" outlineLevel="1">
      <c r="A544" s="215" t="s">
        <v>592</v>
      </c>
      <c r="B544" s="147" t="s">
        <v>1269</v>
      </c>
      <c r="C544" s="147" t="s">
        <v>1271</v>
      </c>
      <c r="D544" s="185" t="s">
        <v>94</v>
      </c>
      <c r="E544" s="199">
        <f>G4*(376.97-F544)+F544</f>
        <v>376.97</v>
      </c>
      <c r="F544" s="65">
        <v>342.76</v>
      </c>
      <c r="G544" s="284">
        <v>0</v>
      </c>
      <c r="H544" s="209" t="s">
        <v>626</v>
      </c>
    </row>
    <row r="545" spans="1:9" s="2" customFormat="1" ht="25.5" outlineLevel="1">
      <c r="A545" s="215" t="s">
        <v>593</v>
      </c>
      <c r="B545" s="56" t="s">
        <v>1270</v>
      </c>
      <c r="C545" s="147" t="s">
        <v>1271</v>
      </c>
      <c r="D545" s="218" t="s">
        <v>94</v>
      </c>
      <c r="E545" s="199">
        <f>G4*(861.6-F545)+F545</f>
        <v>861.6</v>
      </c>
      <c r="F545" s="65">
        <v>828.6</v>
      </c>
      <c r="G545" s="284">
        <v>0</v>
      </c>
      <c r="H545" s="209" t="s">
        <v>626</v>
      </c>
      <c r="I545" s="513"/>
    </row>
    <row r="546" spans="1:9" s="2" customFormat="1" ht="25.5" outlineLevel="1">
      <c r="A546" s="215" t="s">
        <v>594</v>
      </c>
      <c r="B546" s="147" t="s">
        <v>170</v>
      </c>
      <c r="C546" s="147" t="s">
        <v>171</v>
      </c>
      <c r="D546" s="185" t="s">
        <v>94</v>
      </c>
      <c r="E546" s="186">
        <f>G4*13.35</f>
        <v>13.35</v>
      </c>
      <c r="F546" s="48"/>
      <c r="G546" s="49">
        <v>0</v>
      </c>
      <c r="H546" s="209" t="s">
        <v>626</v>
      </c>
    </row>
    <row r="547" spans="1:9" s="2" customFormat="1" ht="25.5" outlineLevel="1">
      <c r="A547" s="215" t="s">
        <v>595</v>
      </c>
      <c r="B547" s="147" t="s">
        <v>1274</v>
      </c>
      <c r="C547" s="147" t="s">
        <v>1272</v>
      </c>
      <c r="D547" s="185" t="s">
        <v>94</v>
      </c>
      <c r="E547" s="199">
        <f>G4*(553.24-F547)+F547</f>
        <v>553.24</v>
      </c>
      <c r="F547" s="65">
        <v>514.47</v>
      </c>
      <c r="G547" s="284">
        <v>0</v>
      </c>
      <c r="H547" s="209" t="s">
        <v>626</v>
      </c>
    </row>
    <row r="548" spans="1:9" s="2" customFormat="1" ht="25.5" outlineLevel="1">
      <c r="A548" s="215" t="s">
        <v>596</v>
      </c>
      <c r="B548" s="147" t="s">
        <v>1275</v>
      </c>
      <c r="C548" s="147" t="s">
        <v>1272</v>
      </c>
      <c r="D548" s="185" t="s">
        <v>94</v>
      </c>
      <c r="E548" s="199">
        <f>G4*(66.41-F548)+F548</f>
        <v>66.41</v>
      </c>
      <c r="F548" s="65">
        <v>47.76</v>
      </c>
      <c r="G548" s="284">
        <v>0</v>
      </c>
      <c r="H548" s="209" t="s">
        <v>626</v>
      </c>
    </row>
    <row r="549" spans="1:9" s="2" customFormat="1" ht="25.5" outlineLevel="1">
      <c r="A549" s="215" t="s">
        <v>597</v>
      </c>
      <c r="B549" s="147" t="s">
        <v>172</v>
      </c>
      <c r="C549" s="147" t="s">
        <v>173</v>
      </c>
      <c r="D549" s="185" t="s">
        <v>94</v>
      </c>
      <c r="E549" s="186">
        <f>G4*18.15</f>
        <v>18.149999999999999</v>
      </c>
      <c r="F549" s="48"/>
      <c r="G549" s="49">
        <v>0</v>
      </c>
      <c r="H549" s="209" t="s">
        <v>626</v>
      </c>
    </row>
    <row r="550" spans="1:9" s="2" customFormat="1" ht="51" outlineLevel="1">
      <c r="A550" s="215" t="s">
        <v>598</v>
      </c>
      <c r="B550" s="147" t="s">
        <v>1276</v>
      </c>
      <c r="C550" s="147" t="s">
        <v>1273</v>
      </c>
      <c r="D550" s="185" t="s">
        <v>94</v>
      </c>
      <c r="E550" s="199">
        <f>G4*(498.42-F550)+F550</f>
        <v>498.42</v>
      </c>
      <c r="F550" s="65">
        <v>417.44</v>
      </c>
      <c r="G550" s="284">
        <v>0</v>
      </c>
      <c r="H550" s="209" t="s">
        <v>1326</v>
      </c>
    </row>
    <row r="551" spans="1:9" s="2" customFormat="1" ht="51" outlineLevel="1">
      <c r="A551" s="215" t="s">
        <v>702</v>
      </c>
      <c r="B551" s="147" t="s">
        <v>1277</v>
      </c>
      <c r="C551" s="147" t="s">
        <v>174</v>
      </c>
      <c r="D551" s="185" t="s">
        <v>94</v>
      </c>
      <c r="E551" s="199">
        <f>G4*(1036.82-F551)+F551</f>
        <v>1036.82</v>
      </c>
      <c r="F551" s="65">
        <v>938.03</v>
      </c>
      <c r="G551" s="284">
        <v>0</v>
      </c>
      <c r="H551" s="209" t="s">
        <v>1326</v>
      </c>
    </row>
    <row r="552" spans="1:9" s="2" customFormat="1" ht="40.15" customHeight="1" outlineLevel="1">
      <c r="A552" s="396" t="s">
        <v>1433</v>
      </c>
      <c r="B552" s="397"/>
      <c r="C552" s="397"/>
      <c r="D552" s="389"/>
      <c r="E552" s="398"/>
      <c r="F552" s="73"/>
      <c r="G552" s="399"/>
      <c r="H552" s="209" t="s">
        <v>1752</v>
      </c>
      <c r="I552" s="513"/>
    </row>
    <row r="553" spans="1:9" s="2" customFormat="1" ht="38.25" outlineLevel="1">
      <c r="A553" s="400" t="s">
        <v>599</v>
      </c>
      <c r="B553" s="401" t="s">
        <v>1278</v>
      </c>
      <c r="C553" s="401" t="s">
        <v>682</v>
      </c>
      <c r="D553" s="218" t="s">
        <v>94</v>
      </c>
      <c r="E553" s="402">
        <f>G4*(45.73-F553)+F553</f>
        <v>45.73</v>
      </c>
      <c r="F553" s="403">
        <v>21.83</v>
      </c>
      <c r="G553" s="284">
        <v>0</v>
      </c>
      <c r="H553" s="209" t="s">
        <v>626</v>
      </c>
    </row>
    <row r="554" spans="1:9" s="2" customFormat="1" ht="25.5" outlineLevel="1">
      <c r="A554" s="400" t="s">
        <v>600</v>
      </c>
      <c r="B554" s="401" t="s">
        <v>175</v>
      </c>
      <c r="C554" s="401" t="s">
        <v>173</v>
      </c>
      <c r="D554" s="218" t="s">
        <v>94</v>
      </c>
      <c r="E554" s="346">
        <f>G4*12.48</f>
        <v>12.48</v>
      </c>
      <c r="F554" s="48"/>
      <c r="G554" s="49">
        <v>0</v>
      </c>
      <c r="H554" s="209" t="s">
        <v>626</v>
      </c>
    </row>
    <row r="555" spans="1:9" s="2" customFormat="1" ht="51" outlineLevel="1">
      <c r="A555" s="400" t="s">
        <v>601</v>
      </c>
      <c r="B555" s="401" t="s">
        <v>1279</v>
      </c>
      <c r="C555" s="401" t="s">
        <v>683</v>
      </c>
      <c r="D555" s="218" t="s">
        <v>94</v>
      </c>
      <c r="E555" s="402">
        <f>G4*(80.37-F555)+F555</f>
        <v>80.37</v>
      </c>
      <c r="F555" s="403">
        <v>55.03</v>
      </c>
      <c r="G555" s="284">
        <v>0</v>
      </c>
      <c r="H555" s="209" t="s">
        <v>626</v>
      </c>
    </row>
    <row r="556" spans="1:9" s="2" customFormat="1" ht="51" outlineLevel="1">
      <c r="A556" s="400" t="s">
        <v>602</v>
      </c>
      <c r="B556" s="401" t="s">
        <v>1280</v>
      </c>
      <c r="C556" s="401" t="s">
        <v>684</v>
      </c>
      <c r="D556" s="218" t="s">
        <v>94</v>
      </c>
      <c r="E556" s="402">
        <f>G4*(157.93-F556)+F556</f>
        <v>157.93</v>
      </c>
      <c r="F556" s="403">
        <v>131.51</v>
      </c>
      <c r="G556" s="284">
        <v>0</v>
      </c>
      <c r="H556" s="209" t="s">
        <v>626</v>
      </c>
    </row>
    <row r="557" spans="1:9" s="2" customFormat="1" ht="51" outlineLevel="1">
      <c r="A557" s="400" t="s">
        <v>603</v>
      </c>
      <c r="B557" s="56" t="s">
        <v>1281</v>
      </c>
      <c r="C557" s="401" t="s">
        <v>683</v>
      </c>
      <c r="D557" s="218" t="s">
        <v>94</v>
      </c>
      <c r="E557" s="199">
        <f>G4*(288.01-F557)+F557</f>
        <v>288.01</v>
      </c>
      <c r="F557" s="65">
        <v>255.01999999999998</v>
      </c>
      <c r="G557" s="284">
        <v>0</v>
      </c>
      <c r="H557" s="209" t="s">
        <v>626</v>
      </c>
    </row>
    <row r="558" spans="1:9" s="2" customFormat="1" ht="51" outlineLevel="1">
      <c r="A558" s="400" t="s">
        <v>604</v>
      </c>
      <c r="B558" s="56" t="s">
        <v>1282</v>
      </c>
      <c r="C558" s="401" t="s">
        <v>683</v>
      </c>
      <c r="D558" s="218" t="s">
        <v>94</v>
      </c>
      <c r="E558" s="199">
        <f>G4*(450.22-F558)+F558</f>
        <v>450.22</v>
      </c>
      <c r="F558" s="65">
        <v>407.66</v>
      </c>
      <c r="G558" s="284">
        <v>0</v>
      </c>
      <c r="H558" s="209" t="s">
        <v>626</v>
      </c>
    </row>
    <row r="559" spans="1:9" s="2" customFormat="1" ht="51" outlineLevel="1">
      <c r="A559" s="400" t="s">
        <v>605</v>
      </c>
      <c r="B559" s="56" t="s">
        <v>1283</v>
      </c>
      <c r="C559" s="401" t="s">
        <v>683</v>
      </c>
      <c r="D559" s="218" t="s">
        <v>94</v>
      </c>
      <c r="E559" s="199">
        <f>G4*(902.53-F559)+F559</f>
        <v>902.53</v>
      </c>
      <c r="F559" s="65">
        <v>851.56</v>
      </c>
      <c r="G559" s="284">
        <v>0</v>
      </c>
      <c r="H559" s="209" t="s">
        <v>626</v>
      </c>
    </row>
    <row r="560" spans="1:9" s="2" customFormat="1" ht="51" outlineLevel="1">
      <c r="A560" s="400" t="s">
        <v>606</v>
      </c>
      <c r="B560" s="56" t="s">
        <v>1284</v>
      </c>
      <c r="C560" s="401" t="s">
        <v>683</v>
      </c>
      <c r="D560" s="218" t="s">
        <v>94</v>
      </c>
      <c r="E560" s="199">
        <f>G4*(1801.07-F560)+F560</f>
        <v>1801.07</v>
      </c>
      <c r="F560" s="65">
        <v>1736.16</v>
      </c>
      <c r="G560" s="284">
        <v>0</v>
      </c>
      <c r="H560" s="209" t="s">
        <v>626</v>
      </c>
    </row>
    <row r="561" spans="1:9" s="2" customFormat="1" ht="51" outlineLevel="1">
      <c r="A561" s="400" t="s">
        <v>607</v>
      </c>
      <c r="B561" s="56" t="s">
        <v>1285</v>
      </c>
      <c r="C561" s="401" t="s">
        <v>683</v>
      </c>
      <c r="D561" s="218" t="s">
        <v>94</v>
      </c>
      <c r="E561" s="199">
        <f>G4*(2302.98-F561)+F561</f>
        <v>2302.98</v>
      </c>
      <c r="F561" s="65">
        <v>2227.52</v>
      </c>
      <c r="G561" s="284">
        <v>0</v>
      </c>
      <c r="H561" s="209" t="s">
        <v>626</v>
      </c>
    </row>
    <row r="562" spans="1:9" s="2" customFormat="1" ht="25.5" outlineLevel="1">
      <c r="A562" s="400" t="s">
        <v>703</v>
      </c>
      <c r="B562" s="401" t="s">
        <v>176</v>
      </c>
      <c r="C562" s="401" t="s">
        <v>173</v>
      </c>
      <c r="D562" s="218" t="s">
        <v>94</v>
      </c>
      <c r="E562" s="346">
        <f>G4*12.48</f>
        <v>12.48</v>
      </c>
      <c r="F562" s="48"/>
      <c r="G562" s="49">
        <v>0</v>
      </c>
      <c r="H562" s="209" t="s">
        <v>626</v>
      </c>
      <c r="I562" s="513"/>
    </row>
    <row r="563" spans="1:9" s="2" customFormat="1" ht="25.5" outlineLevel="1">
      <c r="A563" s="400" t="s">
        <v>704</v>
      </c>
      <c r="B563" s="401" t="s">
        <v>177</v>
      </c>
      <c r="C563" s="401" t="s">
        <v>178</v>
      </c>
      <c r="D563" s="218" t="s">
        <v>179</v>
      </c>
      <c r="E563" s="346">
        <f>G4*34.01</f>
        <v>34.01</v>
      </c>
      <c r="F563" s="48"/>
      <c r="G563" s="49">
        <v>0</v>
      </c>
      <c r="H563" s="209" t="s">
        <v>626</v>
      </c>
    </row>
    <row r="564" spans="1:9" s="2" customFormat="1" ht="38.25" outlineLevel="1">
      <c r="A564" s="400" t="s">
        <v>705</v>
      </c>
      <c r="B564" s="401" t="s">
        <v>1286</v>
      </c>
      <c r="C564" s="401" t="s">
        <v>681</v>
      </c>
      <c r="D564" s="218" t="s">
        <v>180</v>
      </c>
      <c r="E564" s="402">
        <f>G4*(56.9-F564)+F564</f>
        <v>56.9</v>
      </c>
      <c r="F564" s="403">
        <v>21.83</v>
      </c>
      <c r="G564" s="284">
        <v>0</v>
      </c>
      <c r="H564" s="209" t="s">
        <v>626</v>
      </c>
    </row>
    <row r="565" spans="1:9" s="2" customFormat="1" ht="63.75" outlineLevel="1">
      <c r="A565" s="400" t="s">
        <v>706</v>
      </c>
      <c r="B565" s="401" t="s">
        <v>1287</v>
      </c>
      <c r="C565" s="401" t="s">
        <v>685</v>
      </c>
      <c r="D565" s="218" t="s">
        <v>180</v>
      </c>
      <c r="E565" s="346">
        <f>G4*44.76</f>
        <v>44.76</v>
      </c>
      <c r="F565" s="48"/>
      <c r="G565" s="49">
        <v>0</v>
      </c>
      <c r="H565" s="209" t="s">
        <v>626</v>
      </c>
    </row>
    <row r="566" spans="1:9" s="2" customFormat="1" ht="38.25" outlineLevel="1">
      <c r="A566" s="400" t="s">
        <v>707</v>
      </c>
      <c r="B566" s="404" t="s">
        <v>1288</v>
      </c>
      <c r="C566" s="404" t="s">
        <v>686</v>
      </c>
      <c r="D566" s="218" t="s">
        <v>180</v>
      </c>
      <c r="E566" s="402">
        <f>G4*(63.14-F566)+F566</f>
        <v>63.14</v>
      </c>
      <c r="F566" s="403">
        <v>35.730000000000004</v>
      </c>
      <c r="G566" s="284">
        <v>0</v>
      </c>
      <c r="H566" s="209" t="s">
        <v>626</v>
      </c>
    </row>
    <row r="567" spans="1:9" s="2" customFormat="1" ht="40.15" customHeight="1" outlineLevel="1">
      <c r="A567" s="405" t="s">
        <v>1434</v>
      </c>
      <c r="B567" s="406"/>
      <c r="C567" s="397"/>
      <c r="D567" s="389"/>
      <c r="E567" s="389"/>
      <c r="F567" s="73"/>
      <c r="G567" s="399"/>
      <c r="H567" s="209" t="s">
        <v>626</v>
      </c>
      <c r="I567" s="513"/>
    </row>
    <row r="568" spans="1:9" s="2" customFormat="1" ht="51" outlineLevel="1">
      <c r="A568" s="518" t="s">
        <v>608</v>
      </c>
      <c r="B568" s="219" t="s">
        <v>1289</v>
      </c>
      <c r="C568" s="56" t="s">
        <v>1293</v>
      </c>
      <c r="D568" s="185" t="s">
        <v>1</v>
      </c>
      <c r="E568" s="199">
        <f>G4*(352.91-F568)+F568</f>
        <v>352.91</v>
      </c>
      <c r="F568" s="65">
        <v>265.90000000000003</v>
      </c>
      <c r="G568" s="284">
        <v>0</v>
      </c>
      <c r="H568" s="209" t="s">
        <v>626</v>
      </c>
    </row>
    <row r="569" spans="1:9" s="2" customFormat="1" ht="38.25" outlineLevel="1">
      <c r="A569" s="518"/>
      <c r="B569" s="219" t="s">
        <v>1290</v>
      </c>
      <c r="C569" s="56" t="s">
        <v>649</v>
      </c>
      <c r="D569" s="185" t="s">
        <v>1</v>
      </c>
      <c r="E569" s="199">
        <f>G4*(459.14-F569)+F569</f>
        <v>459.14</v>
      </c>
      <c r="F569" s="65">
        <v>372.13</v>
      </c>
      <c r="G569" s="284">
        <v>0</v>
      </c>
      <c r="H569" s="209" t="s">
        <v>626</v>
      </c>
    </row>
    <row r="570" spans="1:9" s="2" customFormat="1" ht="25.5" outlineLevel="1">
      <c r="A570" s="518"/>
      <c r="B570" s="219" t="s">
        <v>1291</v>
      </c>
      <c r="C570" s="56" t="s">
        <v>1292</v>
      </c>
      <c r="D570" s="185" t="s">
        <v>1</v>
      </c>
      <c r="E570" s="199">
        <f>G4*(326.58-F570)+F570</f>
        <v>326.58</v>
      </c>
      <c r="F570" s="65">
        <v>239.57</v>
      </c>
      <c r="G570" s="284">
        <v>0</v>
      </c>
      <c r="H570" s="209" t="s">
        <v>626</v>
      </c>
    </row>
    <row r="571" spans="1:9" s="2" customFormat="1" ht="15.75" outlineLevel="1">
      <c r="A571" s="215" t="s">
        <v>609</v>
      </c>
      <c r="B571" s="219" t="s">
        <v>181</v>
      </c>
      <c r="C571" s="56" t="s">
        <v>182</v>
      </c>
      <c r="D571" s="185" t="s">
        <v>1</v>
      </c>
      <c r="E571" s="186">
        <f>G4*5.64</f>
        <v>5.64</v>
      </c>
      <c r="F571" s="48"/>
      <c r="G571" s="49">
        <v>0</v>
      </c>
      <c r="H571" s="147"/>
    </row>
    <row r="572" spans="1:9" s="2" customFormat="1" ht="38.25" outlineLevel="1">
      <c r="A572" s="215" t="s">
        <v>610</v>
      </c>
      <c r="B572" s="219" t="s">
        <v>183</v>
      </c>
      <c r="C572" s="56" t="s">
        <v>184</v>
      </c>
      <c r="D572" s="185" t="s">
        <v>1</v>
      </c>
      <c r="E572" s="199">
        <f>G4*(11.61-F572)+F572</f>
        <v>11.61</v>
      </c>
      <c r="F572" s="65">
        <v>8.07</v>
      </c>
      <c r="G572" s="284">
        <v>0</v>
      </c>
      <c r="H572" s="209" t="s">
        <v>639</v>
      </c>
    </row>
    <row r="573" spans="1:9" s="2" customFormat="1" ht="38.25" outlineLevel="1">
      <c r="A573" s="215" t="s">
        <v>611</v>
      </c>
      <c r="B573" s="219" t="s">
        <v>185</v>
      </c>
      <c r="C573" s="56" t="s">
        <v>186</v>
      </c>
      <c r="D573" s="185" t="s">
        <v>1</v>
      </c>
      <c r="E573" s="199">
        <f>G4*(24.7-F573)+F573</f>
        <v>24.7</v>
      </c>
      <c r="F573" s="65">
        <v>21.16</v>
      </c>
      <c r="G573" s="284">
        <v>0</v>
      </c>
      <c r="H573" s="209" t="s">
        <v>639</v>
      </c>
    </row>
    <row r="574" spans="1:9" s="2" customFormat="1" ht="40.15" customHeight="1" outlineLevel="1">
      <c r="A574" s="407" t="s">
        <v>1439</v>
      </c>
      <c r="B574" s="397"/>
      <c r="C574" s="397"/>
      <c r="D574" s="389"/>
      <c r="E574" s="390"/>
      <c r="F574" s="73"/>
      <c r="G574" s="399"/>
      <c r="H574" s="408"/>
      <c r="I574" s="513"/>
    </row>
    <row r="575" spans="1:9" s="2" customFormat="1" ht="25.5" outlineLevel="1">
      <c r="A575" s="215" t="s">
        <v>708</v>
      </c>
      <c r="B575" s="147" t="s">
        <v>187</v>
      </c>
      <c r="C575" s="147" t="s">
        <v>1294</v>
      </c>
      <c r="D575" s="185" t="s">
        <v>1</v>
      </c>
      <c r="E575" s="199">
        <f>G4*(309.13-F575)+F575</f>
        <v>309.13</v>
      </c>
      <c r="F575" s="65">
        <v>207.3</v>
      </c>
      <c r="G575" s="409">
        <v>0</v>
      </c>
      <c r="H575" s="209" t="s">
        <v>626</v>
      </c>
    </row>
    <row r="576" spans="1:9" s="2" customFormat="1" ht="25.5" outlineLevel="1">
      <c r="A576" s="215" t="s">
        <v>709</v>
      </c>
      <c r="B576" s="147" t="s">
        <v>1297</v>
      </c>
      <c r="C576" s="147" t="s">
        <v>1295</v>
      </c>
      <c r="D576" s="218" t="s">
        <v>1</v>
      </c>
      <c r="E576" s="199">
        <f>G4*(661.14-F576)+F576</f>
        <v>661.14</v>
      </c>
      <c r="F576" s="65">
        <v>559.30999999999995</v>
      </c>
      <c r="G576" s="409">
        <v>0</v>
      </c>
      <c r="H576" s="209" t="s">
        <v>70</v>
      </c>
    </row>
    <row r="577" spans="1:9" s="2" customFormat="1" ht="25.5" outlineLevel="1">
      <c r="A577" s="215" t="s">
        <v>710</v>
      </c>
      <c r="B577" s="147" t="s">
        <v>1298</v>
      </c>
      <c r="C577" s="147" t="s">
        <v>1296</v>
      </c>
      <c r="D577" s="218" t="s">
        <v>1</v>
      </c>
      <c r="E577" s="199">
        <f>G4*(712.95-F577)+F577</f>
        <v>712.95</v>
      </c>
      <c r="F577" s="65">
        <v>611.12</v>
      </c>
      <c r="G577" s="409">
        <v>0</v>
      </c>
      <c r="H577" s="209" t="s">
        <v>70</v>
      </c>
    </row>
    <row r="578" spans="1:9" s="2" customFormat="1" ht="25.5" outlineLevel="1">
      <c r="A578" s="215" t="s">
        <v>489</v>
      </c>
      <c r="B578" s="147" t="s">
        <v>1299</v>
      </c>
      <c r="C578" s="147" t="s">
        <v>1300</v>
      </c>
      <c r="D578" s="218" t="s">
        <v>1</v>
      </c>
      <c r="E578" s="199">
        <f>G4*(2413.77-F578)+F578</f>
        <v>2413.77</v>
      </c>
      <c r="F578" s="65">
        <v>2311.94</v>
      </c>
      <c r="G578" s="409">
        <v>0</v>
      </c>
      <c r="H578" s="209" t="s">
        <v>70</v>
      </c>
    </row>
    <row r="579" spans="1:9" s="2" customFormat="1" ht="25.5" outlineLevel="1">
      <c r="A579" s="215" t="s">
        <v>490</v>
      </c>
      <c r="B579" s="147" t="s">
        <v>1301</v>
      </c>
      <c r="C579" s="147" t="s">
        <v>1302</v>
      </c>
      <c r="D579" s="218" t="s">
        <v>1</v>
      </c>
      <c r="E579" s="199">
        <f>G4*(2918.63-F579)+F579</f>
        <v>2918.63</v>
      </c>
      <c r="F579" s="65">
        <v>2816.8</v>
      </c>
      <c r="G579" s="409">
        <v>0</v>
      </c>
      <c r="H579" s="209" t="s">
        <v>70</v>
      </c>
    </row>
    <row r="580" spans="1:9" s="2" customFormat="1" ht="25.5" outlineLevel="1">
      <c r="A580" s="215" t="s">
        <v>491</v>
      </c>
      <c r="B580" s="147" t="s">
        <v>1303</v>
      </c>
      <c r="C580" s="147" t="s">
        <v>188</v>
      </c>
      <c r="D580" s="185" t="s">
        <v>1</v>
      </c>
      <c r="E580" s="199">
        <f>G4*(1064.87-F580)+F580</f>
        <v>1064.8699999999999</v>
      </c>
      <c r="F580" s="65">
        <v>842.22</v>
      </c>
      <c r="G580" s="409">
        <v>0</v>
      </c>
      <c r="H580" s="209" t="s">
        <v>70</v>
      </c>
    </row>
    <row r="581" spans="1:9" s="2" customFormat="1" ht="25.5" outlineLevel="1">
      <c r="A581" s="215" t="s">
        <v>492</v>
      </c>
      <c r="B581" s="147" t="s">
        <v>1304</v>
      </c>
      <c r="C581" s="147" t="s">
        <v>699</v>
      </c>
      <c r="D581" s="218" t="s">
        <v>1</v>
      </c>
      <c r="E581" s="199">
        <f>G4*(4670.18-F581)+F581</f>
        <v>4670.18</v>
      </c>
      <c r="F581" s="65">
        <v>4447.53</v>
      </c>
      <c r="G581" s="409">
        <v>0</v>
      </c>
      <c r="H581" s="209" t="s">
        <v>70</v>
      </c>
    </row>
    <row r="582" spans="1:9" s="2" customFormat="1" ht="38.25" outlineLevel="1">
      <c r="A582" s="518" t="s">
        <v>711</v>
      </c>
      <c r="B582" s="147" t="s">
        <v>1305</v>
      </c>
      <c r="C582" s="147" t="s">
        <v>1308</v>
      </c>
      <c r="D582" s="185" t="s">
        <v>1</v>
      </c>
      <c r="E582" s="199">
        <f>G4*(227.38-F582)+F582</f>
        <v>227.38</v>
      </c>
      <c r="F582" s="65">
        <v>141.93</v>
      </c>
      <c r="G582" s="284">
        <v>0</v>
      </c>
      <c r="H582" s="209" t="s">
        <v>626</v>
      </c>
    </row>
    <row r="583" spans="1:9" s="2" customFormat="1" ht="38.25" outlineLevel="1">
      <c r="A583" s="518"/>
      <c r="B583" s="147" t="s">
        <v>1306</v>
      </c>
      <c r="C583" s="147" t="s">
        <v>648</v>
      </c>
      <c r="D583" s="185" t="s">
        <v>1</v>
      </c>
      <c r="E583" s="199">
        <f>G4*(333.61-F583)+F583</f>
        <v>333.61</v>
      </c>
      <c r="F583" s="65">
        <v>248.16</v>
      </c>
      <c r="G583" s="284">
        <v>0</v>
      </c>
      <c r="H583" s="209" t="s">
        <v>626</v>
      </c>
    </row>
    <row r="584" spans="1:9" s="2" customFormat="1" ht="25.5" outlineLevel="1">
      <c r="A584" s="518"/>
      <c r="B584" s="147" t="s">
        <v>1307</v>
      </c>
      <c r="C584" s="147" t="s">
        <v>189</v>
      </c>
      <c r="D584" s="185" t="s">
        <v>1</v>
      </c>
      <c r="E584" s="199">
        <f>G4*(445.48-F584)+F584</f>
        <v>445.48</v>
      </c>
      <c r="F584" s="65">
        <v>360.03</v>
      </c>
      <c r="G584" s="284">
        <v>0</v>
      </c>
      <c r="H584" s="209" t="s">
        <v>626</v>
      </c>
    </row>
    <row r="585" spans="1:9" s="2" customFormat="1" ht="15.75" outlineLevel="1">
      <c r="A585" s="215" t="s">
        <v>712</v>
      </c>
      <c r="B585" s="147" t="s">
        <v>190</v>
      </c>
      <c r="C585" s="147" t="s">
        <v>191</v>
      </c>
      <c r="D585" s="185" t="s">
        <v>1</v>
      </c>
      <c r="E585" s="186">
        <f>G4*5.64</f>
        <v>5.64</v>
      </c>
      <c r="F585" s="48"/>
      <c r="G585" s="49">
        <v>0</v>
      </c>
      <c r="H585" s="147"/>
    </row>
    <row r="586" spans="1:9" s="2" customFormat="1" ht="25.5" outlineLevel="1">
      <c r="A586" s="215" t="s">
        <v>713</v>
      </c>
      <c r="B586" s="147" t="s">
        <v>192</v>
      </c>
      <c r="C586" s="147" t="s">
        <v>193</v>
      </c>
      <c r="D586" s="185" t="s">
        <v>1</v>
      </c>
      <c r="E586" s="199">
        <f>G4*(198.17-F586)+F586</f>
        <v>198.17</v>
      </c>
      <c r="F586" s="65">
        <v>126.96</v>
      </c>
      <c r="G586" s="284">
        <v>0</v>
      </c>
      <c r="H586" s="209" t="s">
        <v>626</v>
      </c>
    </row>
    <row r="587" spans="1:9" s="2" customFormat="1" ht="25.5" outlineLevel="1">
      <c r="A587" s="215" t="s">
        <v>714</v>
      </c>
      <c r="B587" s="147" t="s">
        <v>194</v>
      </c>
      <c r="C587" s="147" t="s">
        <v>195</v>
      </c>
      <c r="D587" s="185" t="s">
        <v>1</v>
      </c>
      <c r="E587" s="199">
        <f>G4*(1711.98-F587)+F587</f>
        <v>1711.98</v>
      </c>
      <c r="F587" s="65">
        <v>1558.32</v>
      </c>
      <c r="G587" s="284">
        <v>0</v>
      </c>
      <c r="H587" s="209" t="s">
        <v>626</v>
      </c>
    </row>
    <row r="588" spans="1:9" s="2" customFormat="1" ht="25.5" outlineLevel="1">
      <c r="A588" s="215" t="s">
        <v>715</v>
      </c>
      <c r="B588" s="147" t="s">
        <v>196</v>
      </c>
      <c r="C588" s="147" t="s">
        <v>197</v>
      </c>
      <c r="D588" s="185" t="s">
        <v>1</v>
      </c>
      <c r="E588" s="199">
        <f>G4*(1058.12-F588)+F588</f>
        <v>1058.1199999999999</v>
      </c>
      <c r="F588" s="65">
        <v>1005.56</v>
      </c>
      <c r="G588" s="284">
        <v>0</v>
      </c>
      <c r="H588" s="209" t="s">
        <v>626</v>
      </c>
    </row>
    <row r="589" spans="1:9" s="2" customFormat="1" ht="40.15" customHeight="1" outlineLevel="1">
      <c r="A589" s="394" t="s">
        <v>1435</v>
      </c>
      <c r="B589" s="406"/>
      <c r="C589" s="397"/>
      <c r="D589" s="251"/>
      <c r="E589" s="252"/>
      <c r="F589" s="177"/>
      <c r="G589" s="361"/>
      <c r="H589" s="393"/>
      <c r="I589" s="513"/>
    </row>
    <row r="590" spans="1:9" s="2" customFormat="1" ht="38.25" outlineLevel="1">
      <c r="A590" s="215" t="s">
        <v>493</v>
      </c>
      <c r="B590" s="147" t="s">
        <v>1310</v>
      </c>
      <c r="C590" s="147" t="s">
        <v>1312</v>
      </c>
      <c r="D590" s="185" t="s">
        <v>1</v>
      </c>
      <c r="E590" s="199">
        <f>G4*(1606.36-F590)+F590</f>
        <v>1606.36</v>
      </c>
      <c r="F590" s="65">
        <v>1558.95</v>
      </c>
      <c r="G590" s="284">
        <v>0</v>
      </c>
      <c r="H590" s="209" t="s">
        <v>627</v>
      </c>
    </row>
    <row r="591" spans="1:9" s="2" customFormat="1" ht="38.25" outlineLevel="1">
      <c r="A591" s="215" t="s">
        <v>494</v>
      </c>
      <c r="B591" s="147" t="s">
        <v>1311</v>
      </c>
      <c r="C591" s="147" t="s">
        <v>1313</v>
      </c>
      <c r="D591" s="185" t="s">
        <v>1</v>
      </c>
      <c r="E591" s="199">
        <f>G4*(2721.34-F591)+F591</f>
        <v>2721.34</v>
      </c>
      <c r="F591" s="65">
        <v>2673.93</v>
      </c>
      <c r="G591" s="284">
        <v>0</v>
      </c>
      <c r="H591" s="209" t="s">
        <v>627</v>
      </c>
    </row>
    <row r="592" spans="1:9" s="2" customFormat="1" ht="114.75" outlineLevel="1">
      <c r="A592" s="215" t="s">
        <v>488</v>
      </c>
      <c r="B592" s="147" t="s">
        <v>198</v>
      </c>
      <c r="C592" s="147" t="s">
        <v>199</v>
      </c>
      <c r="D592" s="185" t="s">
        <v>200</v>
      </c>
      <c r="E592" s="186">
        <f>G4*1118</f>
        <v>1118</v>
      </c>
      <c r="F592" s="48"/>
      <c r="G592" s="49">
        <v>0</v>
      </c>
      <c r="H592" s="209" t="s">
        <v>1309</v>
      </c>
    </row>
    <row r="593" spans="1:9" s="2" customFormat="1" ht="25.5" outlineLevel="1">
      <c r="A593" s="215" t="s">
        <v>495</v>
      </c>
      <c r="B593" s="147" t="s">
        <v>717</v>
      </c>
      <c r="C593" s="147" t="s">
        <v>716</v>
      </c>
      <c r="D593" s="185" t="s">
        <v>201</v>
      </c>
      <c r="E593" s="186">
        <f>G4*7.11</f>
        <v>7.11</v>
      </c>
      <c r="F593" s="48"/>
      <c r="G593" s="49">
        <v>0</v>
      </c>
      <c r="H593" s="209" t="s">
        <v>626</v>
      </c>
    </row>
    <row r="594" spans="1:9" s="2" customFormat="1" ht="25.5" outlineLevel="1">
      <c r="A594" s="215" t="s">
        <v>496</v>
      </c>
      <c r="B594" s="147" t="s">
        <v>202</v>
      </c>
      <c r="C594" s="147" t="s">
        <v>203</v>
      </c>
      <c r="D594" s="185" t="s">
        <v>1</v>
      </c>
      <c r="E594" s="199">
        <f>G4*(83.27-F594)+F594</f>
        <v>83.27</v>
      </c>
      <c r="F594" s="65">
        <v>56.96</v>
      </c>
      <c r="G594" s="284">
        <v>0</v>
      </c>
      <c r="H594" s="209" t="s">
        <v>626</v>
      </c>
    </row>
    <row r="595" spans="1:9" s="2" customFormat="1" ht="25.5" outlineLevel="1">
      <c r="A595" s="215" t="s">
        <v>497</v>
      </c>
      <c r="B595" s="147" t="s">
        <v>204</v>
      </c>
      <c r="C595" s="147" t="s">
        <v>1314</v>
      </c>
      <c r="D595" s="185" t="s">
        <v>1</v>
      </c>
      <c r="E595" s="199">
        <f>G4*(1.5-F595)+F595</f>
        <v>1.5</v>
      </c>
      <c r="F595" s="65">
        <v>0.17</v>
      </c>
      <c r="G595" s="284">
        <v>0</v>
      </c>
      <c r="H595" s="209" t="s">
        <v>626</v>
      </c>
    </row>
    <row r="596" spans="1:9" s="2" customFormat="1" ht="51" outlineLevel="1">
      <c r="A596" s="215" t="s">
        <v>498</v>
      </c>
      <c r="B596" s="147" t="s">
        <v>1315</v>
      </c>
      <c r="C596" s="147"/>
      <c r="D596" s="185" t="s">
        <v>1</v>
      </c>
      <c r="E596" s="186">
        <f>G4*28.84</f>
        <v>28.84</v>
      </c>
      <c r="F596" s="48"/>
      <c r="G596" s="49">
        <v>0</v>
      </c>
      <c r="H596" s="209" t="s">
        <v>626</v>
      </c>
    </row>
    <row r="597" spans="1:9" s="2" customFormat="1" ht="40.15" customHeight="1" outlineLevel="1">
      <c r="A597" s="405" t="s">
        <v>1436</v>
      </c>
      <c r="B597" s="406"/>
      <c r="C597" s="397"/>
      <c r="D597" s="251"/>
      <c r="E597" s="252"/>
      <c r="F597" s="177"/>
      <c r="G597" s="361"/>
      <c r="H597" s="393"/>
      <c r="I597" s="513"/>
    </row>
    <row r="598" spans="1:9" s="2" customFormat="1" ht="38.25" outlineLevel="1">
      <c r="A598" s="215" t="s">
        <v>499</v>
      </c>
      <c r="B598" s="147" t="s">
        <v>205</v>
      </c>
      <c r="C598" s="147" t="s">
        <v>1316</v>
      </c>
      <c r="D598" s="185" t="s">
        <v>206</v>
      </c>
      <c r="E598" s="186">
        <f>G4*91.38</f>
        <v>91.38</v>
      </c>
      <c r="F598" s="48"/>
      <c r="G598" s="49">
        <v>0</v>
      </c>
      <c r="H598" s="209" t="s">
        <v>626</v>
      </c>
    </row>
    <row r="599" spans="1:9" s="2" customFormat="1" ht="38.25" outlineLevel="1">
      <c r="A599" s="215" t="s">
        <v>500</v>
      </c>
      <c r="B599" s="147" t="s">
        <v>207</v>
      </c>
      <c r="C599" s="147" t="s">
        <v>1317</v>
      </c>
      <c r="D599" s="185" t="s">
        <v>513</v>
      </c>
      <c r="E599" s="186">
        <f>G4*173.82</f>
        <v>173.82</v>
      </c>
      <c r="F599" s="48"/>
      <c r="G599" s="49">
        <v>0</v>
      </c>
      <c r="H599" s="209" t="s">
        <v>626</v>
      </c>
    </row>
    <row r="600" spans="1:9" s="2" customFormat="1" ht="40.15" customHeight="1" outlineLevel="1">
      <c r="A600" s="405" t="s">
        <v>1437</v>
      </c>
      <c r="B600" s="406"/>
      <c r="C600" s="397"/>
      <c r="D600" s="251"/>
      <c r="E600" s="252"/>
      <c r="F600" s="177"/>
      <c r="G600" s="361"/>
      <c r="H600" s="393"/>
      <c r="I600" s="513"/>
    </row>
    <row r="601" spans="1:9" s="2" customFormat="1" ht="38.25" outlineLevel="1">
      <c r="A601" s="215" t="s">
        <v>501</v>
      </c>
      <c r="B601" s="147" t="s">
        <v>1318</v>
      </c>
      <c r="C601" s="147" t="s">
        <v>1319</v>
      </c>
      <c r="D601" s="185" t="s">
        <v>1</v>
      </c>
      <c r="E601" s="186">
        <f>G4*518.02</f>
        <v>518.02</v>
      </c>
      <c r="F601" s="48"/>
      <c r="G601" s="49">
        <v>0</v>
      </c>
      <c r="H601" s="211" t="s">
        <v>1324</v>
      </c>
    </row>
    <row r="602" spans="1:9" s="2" customFormat="1" ht="38.25" outlineLevel="1">
      <c r="A602" s="215" t="s">
        <v>502</v>
      </c>
      <c r="B602" s="147" t="s">
        <v>1320</v>
      </c>
      <c r="C602" s="147" t="s">
        <v>1321</v>
      </c>
      <c r="D602" s="185" t="s">
        <v>1</v>
      </c>
      <c r="E602" s="186">
        <f>G4*1763.11</f>
        <v>1763.11</v>
      </c>
      <c r="F602" s="48"/>
      <c r="G602" s="49">
        <v>0</v>
      </c>
      <c r="H602" s="211" t="s">
        <v>1324</v>
      </c>
    </row>
    <row r="603" spans="1:9" s="2" customFormat="1" ht="38.25" outlineLevel="1">
      <c r="A603" s="215" t="s">
        <v>503</v>
      </c>
      <c r="B603" s="147" t="s">
        <v>1322</v>
      </c>
      <c r="C603" s="147" t="s">
        <v>1323</v>
      </c>
      <c r="D603" s="185" t="s">
        <v>1</v>
      </c>
      <c r="E603" s="186">
        <f>G4*261.03</f>
        <v>261.02999999999997</v>
      </c>
      <c r="F603" s="48"/>
      <c r="G603" s="49">
        <v>0</v>
      </c>
      <c r="H603" s="211" t="s">
        <v>1324</v>
      </c>
    </row>
    <row r="604" spans="1:9" s="2" customFormat="1" ht="38.25" outlineLevel="1">
      <c r="A604" s="215" t="s">
        <v>504</v>
      </c>
      <c r="B604" s="147" t="s">
        <v>1325</v>
      </c>
      <c r="C604" s="147" t="s">
        <v>208</v>
      </c>
      <c r="D604" s="185" t="s">
        <v>93</v>
      </c>
      <c r="E604" s="199">
        <f>G4*(692.41-F604)+F604</f>
        <v>692.41</v>
      </c>
      <c r="F604" s="65">
        <v>641.91</v>
      </c>
      <c r="G604" s="284">
        <v>0</v>
      </c>
      <c r="H604" s="209" t="s">
        <v>1326</v>
      </c>
    </row>
    <row r="605" spans="1:9" s="2" customFormat="1" ht="25.5" outlineLevel="1">
      <c r="A605" s="215" t="s">
        <v>505</v>
      </c>
      <c r="B605" s="147" t="s">
        <v>209</v>
      </c>
      <c r="C605" s="147" t="s">
        <v>210</v>
      </c>
      <c r="D605" s="185" t="s">
        <v>93</v>
      </c>
      <c r="E605" s="199">
        <f>G4*(3348.81-F605)+F605</f>
        <v>3348.81</v>
      </c>
      <c r="F605" s="65">
        <v>2638.89</v>
      </c>
      <c r="G605" s="284">
        <v>0</v>
      </c>
      <c r="H605" s="209" t="s">
        <v>1326</v>
      </c>
    </row>
    <row r="606" spans="1:9" s="2" customFormat="1" ht="15.75" outlineLevel="1">
      <c r="A606" s="215" t="s">
        <v>506</v>
      </c>
      <c r="B606" s="147" t="s">
        <v>211</v>
      </c>
      <c r="C606" s="147" t="s">
        <v>212</v>
      </c>
      <c r="D606" s="185" t="s">
        <v>93</v>
      </c>
      <c r="E606" s="186">
        <f>G4*67.28</f>
        <v>67.28</v>
      </c>
      <c r="F606" s="48"/>
      <c r="G606" s="49">
        <v>0</v>
      </c>
      <c r="H606" s="209" t="s">
        <v>1326</v>
      </c>
    </row>
    <row r="607" spans="1:9" s="2" customFormat="1" ht="25.5" outlineLevel="1">
      <c r="A607" s="215" t="s">
        <v>507</v>
      </c>
      <c r="B607" s="147" t="s">
        <v>213</v>
      </c>
      <c r="C607" s="147" t="s">
        <v>214</v>
      </c>
      <c r="D607" s="185" t="s">
        <v>93</v>
      </c>
      <c r="E607" s="186">
        <f>G4*143.74</f>
        <v>143.74</v>
      </c>
      <c r="F607" s="48"/>
      <c r="G607" s="49">
        <v>0</v>
      </c>
      <c r="H607" s="209" t="s">
        <v>1326</v>
      </c>
    </row>
    <row r="608" spans="1:9" s="2" customFormat="1" ht="25.5" outlineLevel="1">
      <c r="A608" s="215" t="s">
        <v>508</v>
      </c>
      <c r="B608" s="147" t="s">
        <v>213</v>
      </c>
      <c r="C608" s="147" t="s">
        <v>215</v>
      </c>
      <c r="D608" s="185" t="s">
        <v>1</v>
      </c>
      <c r="E608" s="186">
        <f>G4*44.62</f>
        <v>44.62</v>
      </c>
      <c r="F608" s="48"/>
      <c r="G608" s="49">
        <v>0</v>
      </c>
      <c r="H608" s="209" t="s">
        <v>1326</v>
      </c>
    </row>
    <row r="609" spans="1:9" s="2" customFormat="1" ht="25.5" outlineLevel="1">
      <c r="A609" s="215" t="s">
        <v>552</v>
      </c>
      <c r="B609" s="56" t="s">
        <v>516</v>
      </c>
      <c r="C609" s="56" t="s">
        <v>553</v>
      </c>
      <c r="D609" s="218" t="s">
        <v>93</v>
      </c>
      <c r="E609" s="186">
        <f>G4*516.65</f>
        <v>516.65</v>
      </c>
      <c r="F609" s="48"/>
      <c r="G609" s="49">
        <f>G4*79</f>
        <v>79</v>
      </c>
      <c r="H609" s="209" t="s">
        <v>1326</v>
      </c>
    </row>
    <row r="610" spans="1:9" s="2" customFormat="1" ht="25.5" outlineLevel="1">
      <c r="A610" s="215" t="s">
        <v>640</v>
      </c>
      <c r="B610" s="56" t="s">
        <v>1327</v>
      </c>
      <c r="C610" s="56" t="s">
        <v>656</v>
      </c>
      <c r="D610" s="218" t="s">
        <v>650</v>
      </c>
      <c r="E610" s="186">
        <v>1.1499999999999999</v>
      </c>
      <c r="F610" s="48"/>
      <c r="G610" s="49">
        <v>0</v>
      </c>
      <c r="H610" s="209" t="s">
        <v>626</v>
      </c>
    </row>
    <row r="611" spans="1:9" s="2" customFormat="1" ht="40.15" customHeight="1" outlineLevel="1">
      <c r="A611" s="396" t="s">
        <v>1438</v>
      </c>
      <c r="B611" s="410"/>
      <c r="C611" s="410"/>
      <c r="D611" s="251"/>
      <c r="E611" s="252"/>
      <c r="F611" s="177"/>
      <c r="G611" s="361"/>
      <c r="H611" s="393"/>
      <c r="I611" s="513"/>
    </row>
    <row r="612" spans="1:9" s="2" customFormat="1" ht="38.25" outlineLevel="1">
      <c r="A612" s="215" t="s">
        <v>822</v>
      </c>
      <c r="B612" s="147" t="s">
        <v>217</v>
      </c>
      <c r="C612" s="147" t="s">
        <v>218</v>
      </c>
      <c r="D612" s="185" t="s">
        <v>219</v>
      </c>
      <c r="E612" s="199">
        <f>G4*(445.05-F612)+F612</f>
        <v>445.05</v>
      </c>
      <c r="F612" s="65">
        <v>56.96</v>
      </c>
      <c r="G612" s="284">
        <v>0</v>
      </c>
      <c r="H612" s="209" t="s">
        <v>831</v>
      </c>
    </row>
    <row r="613" spans="1:9" s="2" customFormat="1" ht="26.45" customHeight="1" outlineLevel="1">
      <c r="A613" s="215" t="s">
        <v>823</v>
      </c>
      <c r="B613" s="147" t="s">
        <v>220</v>
      </c>
      <c r="C613" s="147" t="s">
        <v>221</v>
      </c>
      <c r="D613" s="185" t="s">
        <v>222</v>
      </c>
      <c r="E613" s="186">
        <f>G4*127.36</f>
        <v>127.36</v>
      </c>
      <c r="F613" s="48"/>
      <c r="G613" s="49">
        <v>0</v>
      </c>
      <c r="H613" s="209" t="s">
        <v>832</v>
      </c>
    </row>
    <row r="614" spans="1:9" s="2" customFormat="1" ht="38.25" outlineLevel="1">
      <c r="A614" s="215" t="s">
        <v>824</v>
      </c>
      <c r="B614" s="147" t="s">
        <v>223</v>
      </c>
      <c r="C614" s="147" t="s">
        <v>224</v>
      </c>
      <c r="D614" s="185" t="s">
        <v>222</v>
      </c>
      <c r="E614" s="199">
        <f>G4*(324.31-F614)+F614</f>
        <v>324.31</v>
      </c>
      <c r="F614" s="65">
        <v>56.96</v>
      </c>
      <c r="G614" s="284">
        <v>0</v>
      </c>
      <c r="H614" s="209" t="s">
        <v>70</v>
      </c>
    </row>
    <row r="615" spans="1:9" s="2" customFormat="1" ht="25.5" outlineLevel="1">
      <c r="A615" s="215" t="s">
        <v>825</v>
      </c>
      <c r="B615" s="147" t="s">
        <v>225</v>
      </c>
      <c r="C615" s="147" t="s">
        <v>90</v>
      </c>
      <c r="D615" s="185" t="s">
        <v>222</v>
      </c>
      <c r="E615" s="186">
        <f>G4*133.67</f>
        <v>133.66999999999999</v>
      </c>
      <c r="F615" s="48"/>
      <c r="G615" s="49">
        <v>0</v>
      </c>
      <c r="H615" s="209" t="s">
        <v>70</v>
      </c>
    </row>
    <row r="616" spans="1:9" s="2" customFormat="1" ht="127.5" outlineLevel="1">
      <c r="A616" s="215" t="s">
        <v>826</v>
      </c>
      <c r="B616" s="147" t="s">
        <v>226</v>
      </c>
      <c r="C616" s="147" t="s">
        <v>1328</v>
      </c>
      <c r="D616" s="185" t="s">
        <v>219</v>
      </c>
      <c r="E616" s="186">
        <f>G4*260.81</f>
        <v>260.81</v>
      </c>
      <c r="F616" s="48"/>
      <c r="G616" s="49">
        <v>0</v>
      </c>
      <c r="H616" s="209" t="s">
        <v>70</v>
      </c>
    </row>
    <row r="617" spans="1:9" s="2" customFormat="1" ht="38.25" outlineLevel="1">
      <c r="A617" s="215" t="s">
        <v>827</v>
      </c>
      <c r="B617" s="147" t="s">
        <v>1329</v>
      </c>
      <c r="C617" s="147" t="s">
        <v>1331</v>
      </c>
      <c r="D617" s="185" t="s">
        <v>222</v>
      </c>
      <c r="E617" s="186">
        <f>G4*2384.98</f>
        <v>2384.98</v>
      </c>
      <c r="F617" s="48"/>
      <c r="G617" s="49">
        <v>0</v>
      </c>
      <c r="H617" s="209" t="s">
        <v>70</v>
      </c>
    </row>
    <row r="618" spans="1:9" s="2" customFormat="1" ht="38.25" outlineLevel="1">
      <c r="A618" s="215" t="s">
        <v>828</v>
      </c>
      <c r="B618" s="147" t="s">
        <v>1330</v>
      </c>
      <c r="C618" s="147" t="s">
        <v>1332</v>
      </c>
      <c r="D618" s="185" t="s">
        <v>222</v>
      </c>
      <c r="E618" s="186">
        <f>G4*2851.76</f>
        <v>2851.76</v>
      </c>
      <c r="F618" s="48"/>
      <c r="G618" s="49">
        <v>0</v>
      </c>
      <c r="H618" s="209" t="s">
        <v>70</v>
      </c>
    </row>
    <row r="619" spans="1:9" s="2" customFormat="1" ht="25.5" outlineLevel="1">
      <c r="A619" s="215" t="s">
        <v>829</v>
      </c>
      <c r="B619" s="147" t="s">
        <v>227</v>
      </c>
      <c r="C619" s="147" t="s">
        <v>830</v>
      </c>
      <c r="D619" s="185" t="s">
        <v>222</v>
      </c>
      <c r="E619" s="199">
        <f>G4*(172.31-F619)+F619</f>
        <v>172.31</v>
      </c>
      <c r="F619" s="65">
        <v>56.96</v>
      </c>
      <c r="G619" s="284">
        <v>0</v>
      </c>
      <c r="H619" s="209" t="s">
        <v>70</v>
      </c>
      <c r="I619" s="513"/>
    </row>
    <row r="620" spans="1:9" s="2" customFormat="1" ht="15.75">
      <c r="A620" s="411"/>
      <c r="B620" s="412"/>
      <c r="C620" s="412"/>
      <c r="D620" s="273"/>
      <c r="E620" s="237"/>
      <c r="F620" s="238"/>
      <c r="G620" s="93"/>
      <c r="H620" s="412"/>
    </row>
    <row r="621" spans="1:9" s="2" customFormat="1" ht="15.75">
      <c r="A621" s="411"/>
      <c r="B621" s="412"/>
      <c r="C621" s="412"/>
      <c r="D621" s="273"/>
      <c r="E621" s="237"/>
      <c r="F621" s="238"/>
      <c r="G621" s="93"/>
      <c r="H621" s="412"/>
    </row>
    <row r="622" spans="1:9">
      <c r="A622" s="413"/>
      <c r="B622" s="414" t="s">
        <v>119</v>
      </c>
      <c r="C622" s="413"/>
      <c r="D622" s="415"/>
      <c r="E622" s="416"/>
      <c r="F622" s="417"/>
      <c r="G622" s="418"/>
      <c r="H622" s="415"/>
    </row>
    <row r="623" spans="1:9">
      <c r="A623" s="419">
        <v>1</v>
      </c>
      <c r="B623" s="420" t="s">
        <v>760</v>
      </c>
      <c r="C623" s="421"/>
      <c r="D623" s="421"/>
      <c r="E623" s="422"/>
      <c r="F623" s="423"/>
      <c r="G623" s="424"/>
      <c r="H623" s="425"/>
    </row>
    <row r="624" spans="1:9">
      <c r="A624" s="419">
        <v>2</v>
      </c>
      <c r="B624" s="420" t="s">
        <v>871</v>
      </c>
      <c r="C624" s="421"/>
      <c r="D624" s="421"/>
      <c r="E624" s="422"/>
      <c r="F624" s="423"/>
      <c r="G624" s="424"/>
      <c r="H624" s="425"/>
    </row>
    <row r="625" spans="1:8">
      <c r="A625" s="419">
        <v>3</v>
      </c>
      <c r="B625" s="426" t="s">
        <v>1333</v>
      </c>
      <c r="C625" s="427"/>
      <c r="D625" s="427"/>
      <c r="E625" s="428"/>
      <c r="F625" s="429"/>
      <c r="G625" s="430"/>
      <c r="H625" s="431"/>
    </row>
    <row r="626" spans="1:8">
      <c r="A626" s="419">
        <v>4</v>
      </c>
      <c r="B626" s="426" t="s">
        <v>761</v>
      </c>
      <c r="C626" s="427"/>
      <c r="D626" s="427"/>
      <c r="E626" s="428"/>
      <c r="F626" s="429"/>
      <c r="G626" s="430"/>
      <c r="H626" s="431"/>
    </row>
    <row r="627" spans="1:8">
      <c r="A627" s="419">
        <v>5</v>
      </c>
      <c r="B627" s="426" t="s">
        <v>762</v>
      </c>
      <c r="C627" s="427"/>
      <c r="D627" s="427"/>
      <c r="E627" s="428"/>
      <c r="F627" s="429"/>
      <c r="G627" s="430"/>
      <c r="H627" s="431"/>
    </row>
    <row r="628" spans="1:8">
      <c r="A628" s="419">
        <v>6</v>
      </c>
      <c r="B628" s="426" t="s">
        <v>1365</v>
      </c>
      <c r="C628" s="427"/>
      <c r="D628" s="432"/>
      <c r="E628" s="433"/>
      <c r="F628" s="434"/>
      <c r="G628" s="430"/>
      <c r="H628" s="435"/>
    </row>
    <row r="629" spans="1:8">
      <c r="A629" s="419">
        <v>7</v>
      </c>
      <c r="B629" s="436" t="s">
        <v>1334</v>
      </c>
      <c r="C629" s="437"/>
      <c r="D629" s="438"/>
      <c r="E629" s="439"/>
      <c r="F629" s="440"/>
      <c r="G629" s="441"/>
      <c r="H629" s="442"/>
    </row>
    <row r="630" spans="1:8">
      <c r="A630" s="443">
        <v>8</v>
      </c>
      <c r="B630" s="444" t="s">
        <v>1766</v>
      </c>
      <c r="C630" s="445"/>
      <c r="D630" s="446"/>
      <c r="E630" s="447"/>
      <c r="F630" s="448"/>
      <c r="G630" s="449"/>
      <c r="H630" s="450"/>
    </row>
    <row r="631" spans="1:8">
      <c r="A631" s="451"/>
      <c r="B631" s="436" t="s">
        <v>1367</v>
      </c>
      <c r="C631" s="437"/>
      <c r="D631" s="438"/>
      <c r="E631" s="439"/>
      <c r="F631" s="440"/>
      <c r="G631" s="441"/>
      <c r="H631" s="442"/>
    </row>
    <row r="632" spans="1:8">
      <c r="A632" s="419">
        <v>9</v>
      </c>
      <c r="B632" s="426" t="s">
        <v>1335</v>
      </c>
      <c r="C632" s="427"/>
      <c r="D632" s="432"/>
      <c r="E632" s="433"/>
      <c r="F632" s="434"/>
      <c r="G632" s="430"/>
      <c r="H632" s="435"/>
    </row>
    <row r="633" spans="1:8">
      <c r="A633" s="443">
        <v>10</v>
      </c>
      <c r="B633" s="444" t="s">
        <v>1368</v>
      </c>
      <c r="C633" s="445"/>
      <c r="D633" s="446"/>
      <c r="E633" s="447"/>
      <c r="F633" s="448"/>
      <c r="G633" s="449"/>
      <c r="H633" s="450"/>
    </row>
    <row r="634" spans="1:8">
      <c r="A634" s="451"/>
      <c r="B634" s="436" t="s">
        <v>1369</v>
      </c>
      <c r="C634" s="437"/>
      <c r="D634" s="438"/>
      <c r="E634" s="439"/>
      <c r="F634" s="440"/>
      <c r="G634" s="441"/>
      <c r="H634" s="442"/>
    </row>
    <row r="635" spans="1:8">
      <c r="A635" s="443">
        <v>11</v>
      </c>
      <c r="B635" s="444" t="s">
        <v>1756</v>
      </c>
      <c r="C635" s="445"/>
      <c r="D635" s="446"/>
      <c r="E635" s="447"/>
      <c r="F635" s="448"/>
      <c r="G635" s="449"/>
      <c r="H635" s="450"/>
    </row>
    <row r="636" spans="1:8">
      <c r="A636" s="452"/>
      <c r="B636" s="453" t="s">
        <v>1757</v>
      </c>
      <c r="C636" s="454"/>
      <c r="D636" s="455"/>
      <c r="E636" s="456"/>
      <c r="F636" s="457"/>
      <c r="G636" s="15"/>
      <c r="H636" s="458"/>
    </row>
    <row r="637" spans="1:8">
      <c r="A637" s="452"/>
      <c r="B637" s="453" t="s">
        <v>1758</v>
      </c>
      <c r="C637" s="454"/>
      <c r="D637" s="455"/>
      <c r="E637" s="456"/>
      <c r="F637" s="457"/>
      <c r="G637" s="15"/>
      <c r="H637" s="458"/>
    </row>
    <row r="638" spans="1:8">
      <c r="A638" s="443">
        <v>12</v>
      </c>
      <c r="B638" s="444" t="s">
        <v>1374</v>
      </c>
      <c r="C638" s="445"/>
      <c r="D638" s="446"/>
      <c r="E638" s="447"/>
      <c r="F638" s="448"/>
      <c r="G638" s="449"/>
      <c r="H638" s="450"/>
    </row>
    <row r="639" spans="1:8">
      <c r="A639" s="451"/>
      <c r="B639" s="436" t="s">
        <v>1375</v>
      </c>
      <c r="C639" s="437"/>
      <c r="D639" s="438"/>
      <c r="E639" s="439"/>
      <c r="F639" s="440"/>
      <c r="G639" s="441"/>
      <c r="H639" s="442"/>
    </row>
    <row r="640" spans="1:8">
      <c r="A640" s="443">
        <v>13</v>
      </c>
      <c r="B640" s="454" t="s">
        <v>1376</v>
      </c>
      <c r="C640" s="454"/>
      <c r="D640" s="455"/>
      <c r="E640" s="456"/>
      <c r="F640" s="457"/>
      <c r="G640" s="15"/>
      <c r="H640" s="458"/>
    </row>
    <row r="641" spans="1:8">
      <c r="A641" s="452"/>
      <c r="B641" s="454" t="s">
        <v>1377</v>
      </c>
      <c r="C641" s="454"/>
      <c r="D641" s="455"/>
      <c r="E641" s="456"/>
      <c r="F641" s="457"/>
      <c r="G641" s="15"/>
      <c r="H641" s="458"/>
    </row>
    <row r="642" spans="1:8">
      <c r="A642" s="451"/>
      <c r="B642" s="437" t="s">
        <v>1378</v>
      </c>
      <c r="C642" s="437"/>
      <c r="D642" s="438"/>
      <c r="E642" s="439"/>
      <c r="F642" s="440"/>
      <c r="G642" s="441"/>
      <c r="H642" s="442"/>
    </row>
    <row r="643" spans="1:8">
      <c r="A643" s="454"/>
      <c r="B643" s="454"/>
      <c r="C643" s="454"/>
      <c r="D643" s="455"/>
      <c r="E643" s="456"/>
      <c r="F643" s="457"/>
      <c r="G643" s="15"/>
      <c r="H643" s="455"/>
    </row>
    <row r="644" spans="1:8">
      <c r="A644" s="454"/>
      <c r="B644" s="454"/>
      <c r="C644" s="454"/>
      <c r="D644" s="455"/>
      <c r="E644" s="456"/>
      <c r="F644" s="457"/>
      <c r="G644" s="15"/>
      <c r="H644" s="455"/>
    </row>
    <row r="645" spans="1:8">
      <c r="A645" s="454"/>
      <c r="B645" s="454"/>
      <c r="C645" s="454"/>
      <c r="D645" s="455"/>
      <c r="E645" s="456"/>
      <c r="F645" s="457"/>
      <c r="G645" s="15"/>
      <c r="H645" s="455"/>
    </row>
  </sheetData>
  <sheetProtection password="CF5A" sheet="1" formatCells="0" formatColumns="0" formatRows="0" insertColumns="0" insertRows="0" insertHyperlinks="0" deleteColumns="0" deleteRows="0" sort="0" autoFilter="0" pivotTables="0"/>
  <mergeCells count="29">
    <mergeCell ref="A472:C472"/>
    <mergeCell ref="A22:C22"/>
    <mergeCell ref="A568:A570"/>
    <mergeCell ref="A243:C243"/>
    <mergeCell ref="A89:C89"/>
    <mergeCell ref="A300:C300"/>
    <mergeCell ref="A336:C336"/>
    <mergeCell ref="B242:C242"/>
    <mergeCell ref="B299:C299"/>
    <mergeCell ref="B499:C499"/>
    <mergeCell ref="B538:C538"/>
    <mergeCell ref="A500:C500"/>
    <mergeCell ref="A539:C539"/>
    <mergeCell ref="A17:C17"/>
    <mergeCell ref="A365:C365"/>
    <mergeCell ref="A582:A584"/>
    <mergeCell ref="A2:H2"/>
    <mergeCell ref="B53:C53"/>
    <mergeCell ref="C54:C61"/>
    <mergeCell ref="B62:C62"/>
    <mergeCell ref="C63:C70"/>
    <mergeCell ref="A10:C10"/>
    <mergeCell ref="C12:C14"/>
    <mergeCell ref="B71:C71"/>
    <mergeCell ref="C72:C79"/>
    <mergeCell ref="A392:C392"/>
    <mergeCell ref="B9:C9"/>
    <mergeCell ref="B21:C21"/>
    <mergeCell ref="B33:C33"/>
  </mergeCells>
  <printOptions horizontalCentered="1"/>
  <pageMargins left="0.23622047244094491" right="0.23622047244094491" top="0.74803149606299213" bottom="0.74803149606299213" header="0.31496062992125984" footer="0.31496062992125984"/>
  <pageSetup paperSize="9" scale="10" fitToHeight="28" orientation="landscape" r:id="rId1"/>
  <rowBreaks count="1" manualBreakCount="1">
    <brk id="412" max="9" man="1"/>
  </rowBreaks>
  <ignoredErrors>
    <ignoredError sqref="A532:A533 A393 A408 A308"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C6CF4-6D08-4CE5-BB9C-5F426BD85EEA}">
  <sheetPr>
    <tabColor rgb="FF00FF00"/>
  </sheetPr>
  <dimension ref="A1:H643"/>
  <sheetViews>
    <sheetView showGridLines="0" zoomScale="60" zoomScaleNormal="60" workbookViewId="0">
      <selection activeCell="C8" sqref="C8:C10"/>
    </sheetView>
  </sheetViews>
  <sheetFormatPr defaultColWidth="9.140625" defaultRowHeight="15" outlineLevelRow="1"/>
  <cols>
    <col min="1" max="1" width="9.7109375" style="5" customWidth="1"/>
    <col min="2" max="2" width="52.140625" style="5" customWidth="1"/>
    <col min="3" max="3" width="105.7109375" style="5" customWidth="1"/>
    <col min="4" max="4" width="12.7109375" style="6" customWidth="1"/>
    <col min="5" max="5" width="104.85546875" style="6" customWidth="1"/>
    <col min="6" max="16384" width="9.140625" style="1"/>
  </cols>
  <sheetData>
    <row r="1" spans="1:5" s="2" customFormat="1" ht="15.75">
      <c r="A1" s="5"/>
      <c r="B1" s="5"/>
      <c r="C1" s="5"/>
      <c r="D1" s="6"/>
      <c r="E1" s="7"/>
    </row>
    <row r="2" spans="1:5" ht="72" customHeight="1">
      <c r="A2" s="573" t="s">
        <v>1765</v>
      </c>
      <c r="B2" s="519"/>
      <c r="C2" s="519"/>
      <c r="D2" s="519"/>
      <c r="E2" s="519"/>
    </row>
    <row r="3" spans="1:5" ht="30">
      <c r="A3" s="22" t="s">
        <v>73</v>
      </c>
      <c r="B3" s="22" t="s">
        <v>69</v>
      </c>
      <c r="C3" s="22" t="s">
        <v>6</v>
      </c>
      <c r="D3" s="22" t="s">
        <v>0</v>
      </c>
      <c r="E3" s="22" t="s">
        <v>1459</v>
      </c>
    </row>
    <row r="4" spans="1:5" s="2" customFormat="1" ht="12.6" customHeight="1">
      <c r="A4" s="25">
        <v>1</v>
      </c>
      <c r="B4" s="26">
        <v>2</v>
      </c>
      <c r="C4" s="26">
        <v>3</v>
      </c>
      <c r="D4" s="26">
        <v>4</v>
      </c>
      <c r="E4" s="26">
        <v>5</v>
      </c>
    </row>
    <row r="5" spans="1:5" s="2" customFormat="1" ht="40.15" customHeight="1">
      <c r="A5" s="29">
        <v>1</v>
      </c>
      <c r="B5" s="524" t="s">
        <v>847</v>
      </c>
      <c r="C5" s="524"/>
      <c r="D5" s="30"/>
      <c r="E5" s="34"/>
    </row>
    <row r="6" spans="1:5" s="2" customFormat="1" ht="40.15" customHeight="1" outlineLevel="1">
      <c r="A6" s="522" t="s">
        <v>1414</v>
      </c>
      <c r="B6" s="516"/>
      <c r="C6" s="517"/>
      <c r="D6" s="35"/>
      <c r="E6" s="459" t="s">
        <v>1336</v>
      </c>
    </row>
    <row r="7" spans="1:5" s="2" customFormat="1" ht="89.25" outlineLevel="1">
      <c r="A7" s="37" t="s">
        <v>9</v>
      </c>
      <c r="B7" s="38" t="s">
        <v>1362</v>
      </c>
      <c r="C7" s="39" t="s">
        <v>1361</v>
      </c>
      <c r="D7" s="40"/>
      <c r="E7" s="562" t="s">
        <v>1460</v>
      </c>
    </row>
    <row r="8" spans="1:5" s="2" customFormat="1" ht="46.15" customHeight="1" outlineLevel="1">
      <c r="A8" s="45" t="s">
        <v>228</v>
      </c>
      <c r="B8" s="45" t="s">
        <v>747</v>
      </c>
      <c r="C8" s="523" t="s">
        <v>1051</v>
      </c>
      <c r="D8" s="460" t="s">
        <v>229</v>
      </c>
      <c r="E8" s="563"/>
    </row>
    <row r="9" spans="1:5" s="2" customFormat="1" ht="50.45" customHeight="1" outlineLevel="1">
      <c r="A9" s="45" t="s">
        <v>230</v>
      </c>
      <c r="B9" s="45" t="s">
        <v>748</v>
      </c>
      <c r="C9" s="523"/>
      <c r="D9" s="460" t="s">
        <v>229</v>
      </c>
      <c r="E9" s="563"/>
    </row>
    <row r="10" spans="1:5" s="2" customFormat="1" ht="61.15" customHeight="1" outlineLevel="1">
      <c r="A10" s="45" t="s">
        <v>231</v>
      </c>
      <c r="B10" s="45" t="s">
        <v>749</v>
      </c>
      <c r="C10" s="523"/>
      <c r="D10" s="460" t="s">
        <v>229</v>
      </c>
      <c r="E10" s="564"/>
    </row>
    <row r="11" spans="1:5" s="2" customFormat="1" ht="86.45" customHeight="1" outlineLevel="1">
      <c r="A11" s="37" t="s">
        <v>232</v>
      </c>
      <c r="B11" s="51" t="s">
        <v>528</v>
      </c>
      <c r="C11" s="39" t="s">
        <v>1360</v>
      </c>
      <c r="D11" s="40"/>
      <c r="E11" s="565" t="s">
        <v>1462</v>
      </c>
    </row>
    <row r="12" spans="1:5" s="2" customFormat="1" ht="102" outlineLevel="1">
      <c r="A12" s="45" t="s">
        <v>233</v>
      </c>
      <c r="B12" s="55" t="s">
        <v>563</v>
      </c>
      <c r="C12" s="56" t="s">
        <v>1051</v>
      </c>
      <c r="D12" s="460" t="s">
        <v>229</v>
      </c>
      <c r="E12" s="566"/>
    </row>
    <row r="13" spans="1:5" s="2" customFormat="1" ht="40.15" customHeight="1" outlineLevel="1">
      <c r="A13" s="516" t="s">
        <v>1413</v>
      </c>
      <c r="B13" s="516"/>
      <c r="C13" s="517"/>
      <c r="D13" s="58"/>
      <c r="E13" s="459"/>
    </row>
    <row r="14" spans="1:5" s="2" customFormat="1" ht="87" customHeight="1" outlineLevel="1">
      <c r="A14" s="62" t="s">
        <v>234</v>
      </c>
      <c r="B14" s="56" t="s">
        <v>634</v>
      </c>
      <c r="C14" s="63" t="s">
        <v>1355</v>
      </c>
      <c r="D14" s="64"/>
      <c r="E14" s="567" t="s">
        <v>1461</v>
      </c>
    </row>
    <row r="15" spans="1:5" s="2" customFormat="1" ht="63.6" customHeight="1" outlineLevel="1">
      <c r="A15" s="62" t="s">
        <v>235</v>
      </c>
      <c r="B15" s="67" t="s">
        <v>745</v>
      </c>
      <c r="C15" s="68"/>
      <c r="D15" s="64" t="s">
        <v>229</v>
      </c>
      <c r="E15" s="568"/>
    </row>
    <row r="16" spans="1:5" s="2" customFormat="1" ht="50.45" customHeight="1" outlineLevel="1">
      <c r="A16" s="62" t="s">
        <v>236</v>
      </c>
      <c r="B16" s="67" t="s">
        <v>746</v>
      </c>
      <c r="C16" s="68"/>
      <c r="D16" s="64" t="s">
        <v>229</v>
      </c>
      <c r="E16" s="569"/>
    </row>
    <row r="17" spans="1:5" s="2" customFormat="1" ht="40.15" customHeight="1">
      <c r="A17" s="70">
        <v>2</v>
      </c>
      <c r="B17" s="524" t="s">
        <v>848</v>
      </c>
      <c r="C17" s="524"/>
      <c r="D17" s="71"/>
      <c r="E17" s="74"/>
    </row>
    <row r="18" spans="1:5" s="2" customFormat="1" ht="40.15" customHeight="1" outlineLevel="1">
      <c r="A18" s="516" t="s">
        <v>1415</v>
      </c>
      <c r="B18" s="516"/>
      <c r="C18" s="517"/>
      <c r="D18" s="58"/>
      <c r="E18" s="459" t="s">
        <v>1463</v>
      </c>
    </row>
    <row r="19" spans="1:5" s="2" customFormat="1" ht="191.25" outlineLevel="1">
      <c r="A19" s="78" t="s">
        <v>10</v>
      </c>
      <c r="B19" s="79" t="s">
        <v>1379</v>
      </c>
      <c r="C19" s="79" t="s">
        <v>1357</v>
      </c>
      <c r="D19" s="46" t="s">
        <v>251</v>
      </c>
      <c r="E19" s="570" t="s">
        <v>1464</v>
      </c>
    </row>
    <row r="20" spans="1:5" s="2" customFormat="1" ht="127.5" outlineLevel="1">
      <c r="A20" s="78" t="s">
        <v>11</v>
      </c>
      <c r="B20" s="79" t="s">
        <v>1380</v>
      </c>
      <c r="C20" s="79" t="s">
        <v>1052</v>
      </c>
      <c r="D20" s="46" t="s">
        <v>251</v>
      </c>
      <c r="E20" s="571"/>
    </row>
    <row r="21" spans="1:5" s="2" customFormat="1" ht="178.5" outlineLevel="1">
      <c r="A21" s="78" t="s">
        <v>12</v>
      </c>
      <c r="B21" s="79" t="s">
        <v>529</v>
      </c>
      <c r="C21" s="79" t="s">
        <v>1356</v>
      </c>
      <c r="D21" s="46" t="s">
        <v>251</v>
      </c>
      <c r="E21" s="572"/>
    </row>
    <row r="22" spans="1:5" s="2" customFormat="1" ht="15.75" outlineLevel="1">
      <c r="A22" s="81" t="s">
        <v>1381</v>
      </c>
      <c r="B22" s="82"/>
      <c r="C22" s="82"/>
      <c r="D22" s="83"/>
      <c r="E22" s="461"/>
    </row>
    <row r="23" spans="1:5" s="2" customFormat="1" ht="15.75" outlineLevel="1">
      <c r="A23" s="88" t="s">
        <v>1382</v>
      </c>
      <c r="B23" s="89"/>
      <c r="C23" s="89"/>
      <c r="D23" s="90"/>
      <c r="E23" s="462"/>
    </row>
    <row r="24" spans="1:5" s="2" customFormat="1" ht="15.75" outlineLevel="1">
      <c r="A24" s="95" t="s">
        <v>1383</v>
      </c>
      <c r="B24" s="89"/>
      <c r="C24" s="89"/>
      <c r="D24" s="90"/>
      <c r="E24" s="462"/>
    </row>
    <row r="25" spans="1:5" s="2" customFormat="1" ht="15.75" outlineLevel="1">
      <c r="A25" s="95" t="s">
        <v>1384</v>
      </c>
      <c r="B25" s="89"/>
      <c r="C25" s="89"/>
      <c r="D25" s="90"/>
      <c r="E25" s="462"/>
    </row>
    <row r="26" spans="1:5" s="2" customFormat="1" ht="15.75" outlineLevel="1">
      <c r="A26" s="95" t="s">
        <v>1385</v>
      </c>
      <c r="B26" s="89"/>
      <c r="C26" s="89"/>
      <c r="D26" s="90"/>
      <c r="E26" s="462"/>
    </row>
    <row r="27" spans="1:5" s="2" customFormat="1" ht="15.75" outlineLevel="1">
      <c r="A27" s="95" t="s">
        <v>1387</v>
      </c>
      <c r="B27" s="89"/>
      <c r="C27" s="89"/>
      <c r="D27" s="90"/>
      <c r="E27" s="462"/>
    </row>
    <row r="28" spans="1:5" s="2" customFormat="1" ht="9.6" customHeight="1" outlineLevel="1">
      <c r="A28" s="96" t="s">
        <v>1386</v>
      </c>
      <c r="B28" s="97"/>
      <c r="C28" s="98"/>
      <c r="D28" s="98"/>
      <c r="E28" s="102"/>
    </row>
    <row r="29" spans="1:5" s="2" customFormat="1" ht="40.15" customHeight="1">
      <c r="A29" s="103">
        <v>3</v>
      </c>
      <c r="B29" s="525" t="s">
        <v>849</v>
      </c>
      <c r="C29" s="524"/>
      <c r="D29" s="71"/>
      <c r="E29" s="34"/>
    </row>
    <row r="30" spans="1:5" s="2" customFormat="1" ht="40.15" customHeight="1" outlineLevel="1">
      <c r="A30" s="104" t="s">
        <v>1416</v>
      </c>
      <c r="B30" s="105"/>
      <c r="C30" s="105"/>
      <c r="D30" s="106"/>
      <c r="E30" s="105"/>
    </row>
    <row r="31" spans="1:5" s="2" customFormat="1" ht="153" outlineLevel="1">
      <c r="A31" s="111" t="s">
        <v>13</v>
      </c>
      <c r="B31" s="112" t="s">
        <v>1444</v>
      </c>
      <c r="C31" s="113" t="s">
        <v>1767</v>
      </c>
      <c r="D31" s="114"/>
      <c r="E31" s="559" t="s">
        <v>1465</v>
      </c>
    </row>
    <row r="32" spans="1:5" s="2" customFormat="1" ht="25.5" outlineLevel="1">
      <c r="A32" s="119" t="s">
        <v>252</v>
      </c>
      <c r="B32" s="120" t="s">
        <v>889</v>
      </c>
      <c r="C32" s="121"/>
      <c r="D32" s="463" t="s">
        <v>72</v>
      </c>
      <c r="E32" s="560"/>
    </row>
    <row r="33" spans="1:5" s="2" customFormat="1" ht="25.5" outlineLevel="1">
      <c r="A33" s="119" t="s">
        <v>253</v>
      </c>
      <c r="B33" s="120" t="s">
        <v>99</v>
      </c>
      <c r="C33" s="121"/>
      <c r="D33" s="463" t="s">
        <v>72</v>
      </c>
      <c r="E33" s="560"/>
    </row>
    <row r="34" spans="1:5" s="2" customFormat="1" ht="25.5" outlineLevel="1">
      <c r="A34" s="119" t="s">
        <v>254</v>
      </c>
      <c r="B34" s="120" t="s">
        <v>958</v>
      </c>
      <c r="C34" s="121"/>
      <c r="D34" s="463" t="s">
        <v>72</v>
      </c>
      <c r="E34" s="560"/>
    </row>
    <row r="35" spans="1:5" s="2" customFormat="1" ht="25.5" outlineLevel="1">
      <c r="A35" s="119" t="s">
        <v>891</v>
      </c>
      <c r="B35" s="120" t="s">
        <v>890</v>
      </c>
      <c r="C35" s="121"/>
      <c r="D35" s="463" t="s">
        <v>72</v>
      </c>
      <c r="E35" s="560"/>
    </row>
    <row r="36" spans="1:5" s="2" customFormat="1" ht="25.5" outlineLevel="1">
      <c r="A36" s="119" t="s">
        <v>892</v>
      </c>
      <c r="B36" s="120" t="s">
        <v>959</v>
      </c>
      <c r="C36" s="121"/>
      <c r="D36" s="463" t="s">
        <v>72</v>
      </c>
      <c r="E36" s="561"/>
    </row>
    <row r="37" spans="1:5" s="2" customFormat="1" ht="178.5" outlineLevel="1">
      <c r="A37" s="111" t="s">
        <v>14</v>
      </c>
      <c r="B37" s="112" t="s">
        <v>1445</v>
      </c>
      <c r="C37" s="113" t="s">
        <v>1768</v>
      </c>
      <c r="D37" s="114"/>
      <c r="E37" s="559" t="s">
        <v>1739</v>
      </c>
    </row>
    <row r="38" spans="1:5" s="2" customFormat="1" ht="25.5" outlineLevel="1">
      <c r="A38" s="127" t="s">
        <v>255</v>
      </c>
      <c r="B38" s="120" t="s">
        <v>889</v>
      </c>
      <c r="C38" s="121"/>
      <c r="D38" s="139" t="s">
        <v>72</v>
      </c>
      <c r="E38" s="560"/>
    </row>
    <row r="39" spans="1:5" s="2" customFormat="1" ht="25.5" outlineLevel="1">
      <c r="A39" s="127" t="s">
        <v>256</v>
      </c>
      <c r="B39" s="120" t="s">
        <v>99</v>
      </c>
      <c r="C39" s="121"/>
      <c r="D39" s="139" t="s">
        <v>72</v>
      </c>
      <c r="E39" s="560"/>
    </row>
    <row r="40" spans="1:5" s="2" customFormat="1" ht="25.5" outlineLevel="1">
      <c r="A40" s="127" t="s">
        <v>257</v>
      </c>
      <c r="B40" s="120" t="s">
        <v>958</v>
      </c>
      <c r="C40" s="121"/>
      <c r="D40" s="139" t="s">
        <v>72</v>
      </c>
      <c r="E40" s="560"/>
    </row>
    <row r="41" spans="1:5" s="2" customFormat="1" ht="25.5" outlineLevel="1">
      <c r="A41" s="127" t="s">
        <v>893</v>
      </c>
      <c r="B41" s="120" t="s">
        <v>890</v>
      </c>
      <c r="C41" s="121"/>
      <c r="D41" s="139" t="s">
        <v>72</v>
      </c>
      <c r="E41" s="560"/>
    </row>
    <row r="42" spans="1:5" s="2" customFormat="1" ht="25.5" outlineLevel="1">
      <c r="A42" s="127" t="s">
        <v>894</v>
      </c>
      <c r="B42" s="120" t="s">
        <v>959</v>
      </c>
      <c r="C42" s="121"/>
      <c r="D42" s="139" t="s">
        <v>72</v>
      </c>
      <c r="E42" s="561"/>
    </row>
    <row r="43" spans="1:5" s="2" customFormat="1" ht="140.25" outlineLevel="1">
      <c r="A43" s="111" t="s">
        <v>15</v>
      </c>
      <c r="B43" s="112" t="s">
        <v>1446</v>
      </c>
      <c r="C43" s="113" t="s">
        <v>1769</v>
      </c>
      <c r="D43" s="114"/>
      <c r="E43" s="559" t="s">
        <v>1466</v>
      </c>
    </row>
    <row r="44" spans="1:5" s="2" customFormat="1" ht="25.5" outlineLevel="1">
      <c r="A44" s="131" t="s">
        <v>258</v>
      </c>
      <c r="B44" s="120" t="s">
        <v>889</v>
      </c>
      <c r="C44" s="121"/>
      <c r="D44" s="463" t="s">
        <v>72</v>
      </c>
      <c r="E44" s="560"/>
    </row>
    <row r="45" spans="1:5" s="2" customFormat="1" ht="25.5" outlineLevel="1">
      <c r="A45" s="131" t="s">
        <v>259</v>
      </c>
      <c r="B45" s="120" t="s">
        <v>99</v>
      </c>
      <c r="C45" s="121"/>
      <c r="D45" s="463" t="s">
        <v>72</v>
      </c>
      <c r="E45" s="560"/>
    </row>
    <row r="46" spans="1:5" s="2" customFormat="1" ht="25.5" outlineLevel="1">
      <c r="A46" s="131" t="s">
        <v>260</v>
      </c>
      <c r="B46" s="120" t="s">
        <v>958</v>
      </c>
      <c r="C46" s="121"/>
      <c r="D46" s="463" t="s">
        <v>72</v>
      </c>
      <c r="E46" s="560"/>
    </row>
    <row r="47" spans="1:5" s="2" customFormat="1" ht="25.5" outlineLevel="1">
      <c r="A47" s="131" t="s">
        <v>895</v>
      </c>
      <c r="B47" s="120" t="s">
        <v>890</v>
      </c>
      <c r="C47" s="121"/>
      <c r="D47" s="463" t="s">
        <v>72</v>
      </c>
      <c r="E47" s="560"/>
    </row>
    <row r="48" spans="1:5" s="2" customFormat="1" ht="25.5" outlineLevel="1">
      <c r="A48" s="131" t="s">
        <v>896</v>
      </c>
      <c r="B48" s="120" t="s">
        <v>959</v>
      </c>
      <c r="C48" s="121"/>
      <c r="D48" s="463" t="s">
        <v>72</v>
      </c>
      <c r="E48" s="561"/>
    </row>
    <row r="49" spans="1:5" s="2" customFormat="1" ht="25.5" outlineLevel="1">
      <c r="A49" s="133" t="s">
        <v>25</v>
      </c>
      <c r="B49" s="520" t="s">
        <v>1447</v>
      </c>
      <c r="C49" s="520"/>
      <c r="D49" s="134"/>
      <c r="E49" s="464" t="s">
        <v>1467</v>
      </c>
    </row>
    <row r="50" spans="1:5" s="2" customFormat="1" ht="77.25" outlineLevel="1">
      <c r="A50" s="127" t="s">
        <v>97</v>
      </c>
      <c r="B50" s="138" t="s">
        <v>262</v>
      </c>
      <c r="C50" s="521" t="s">
        <v>693</v>
      </c>
      <c r="D50" s="139" t="s">
        <v>263</v>
      </c>
      <c r="E50" s="556" t="s">
        <v>1468</v>
      </c>
    </row>
    <row r="51" spans="1:5" s="2" customFormat="1" ht="77.25" outlineLevel="1">
      <c r="A51" s="127" t="s">
        <v>98</v>
      </c>
      <c r="B51" s="138" t="s">
        <v>264</v>
      </c>
      <c r="C51" s="521"/>
      <c r="D51" s="139" t="s">
        <v>263</v>
      </c>
      <c r="E51" s="557"/>
    </row>
    <row r="52" spans="1:5" s="2" customFormat="1" ht="77.25" outlineLevel="1">
      <c r="A52" s="127" t="s">
        <v>753</v>
      </c>
      <c r="B52" s="138" t="s">
        <v>266</v>
      </c>
      <c r="C52" s="521"/>
      <c r="D52" s="139" t="s">
        <v>263</v>
      </c>
      <c r="E52" s="557"/>
    </row>
    <row r="53" spans="1:5" s="2" customFormat="1" ht="77.25" outlineLevel="1">
      <c r="A53" s="127" t="s">
        <v>754</v>
      </c>
      <c r="B53" s="138" t="s">
        <v>268</v>
      </c>
      <c r="C53" s="521"/>
      <c r="D53" s="139" t="s">
        <v>263</v>
      </c>
      <c r="E53" s="557"/>
    </row>
    <row r="54" spans="1:5" s="2" customFormat="1" ht="77.25" outlineLevel="1">
      <c r="A54" s="127" t="s">
        <v>755</v>
      </c>
      <c r="B54" s="138" t="s">
        <v>270</v>
      </c>
      <c r="C54" s="521"/>
      <c r="D54" s="139" t="s">
        <v>263</v>
      </c>
      <c r="E54" s="557"/>
    </row>
    <row r="55" spans="1:5" s="2" customFormat="1" ht="77.25" outlineLevel="1">
      <c r="A55" s="127" t="s">
        <v>756</v>
      </c>
      <c r="B55" s="138" t="s">
        <v>272</v>
      </c>
      <c r="C55" s="521"/>
      <c r="D55" s="139" t="s">
        <v>263</v>
      </c>
      <c r="E55" s="557"/>
    </row>
    <row r="56" spans="1:5" s="2" customFormat="1" ht="77.25" outlineLevel="1">
      <c r="A56" s="127" t="s">
        <v>757</v>
      </c>
      <c r="B56" s="138" t="s">
        <v>274</v>
      </c>
      <c r="C56" s="521"/>
      <c r="D56" s="139" t="s">
        <v>263</v>
      </c>
      <c r="E56" s="557"/>
    </row>
    <row r="57" spans="1:5" s="2" customFormat="1" ht="77.25" outlineLevel="1">
      <c r="A57" s="127" t="s">
        <v>758</v>
      </c>
      <c r="B57" s="138" t="s">
        <v>276</v>
      </c>
      <c r="C57" s="521"/>
      <c r="D57" s="139" t="s">
        <v>263</v>
      </c>
      <c r="E57" s="558"/>
    </row>
    <row r="58" spans="1:5" s="2" customFormat="1" ht="25.5" outlineLevel="1">
      <c r="A58" s="133" t="s">
        <v>26</v>
      </c>
      <c r="B58" s="520" t="s">
        <v>1448</v>
      </c>
      <c r="C58" s="520"/>
      <c r="D58" s="134"/>
      <c r="E58" s="464" t="s">
        <v>1467</v>
      </c>
    </row>
    <row r="59" spans="1:5" s="2" customFormat="1" ht="77.25" outlineLevel="1">
      <c r="A59" s="127" t="s">
        <v>115</v>
      </c>
      <c r="B59" s="138" t="s">
        <v>262</v>
      </c>
      <c r="C59" s="521" t="s">
        <v>694</v>
      </c>
      <c r="D59" s="139" t="s">
        <v>263</v>
      </c>
      <c r="E59" s="556" t="s">
        <v>1469</v>
      </c>
    </row>
    <row r="60" spans="1:5" s="2" customFormat="1" ht="77.25" outlineLevel="1">
      <c r="A60" s="127" t="s">
        <v>116</v>
      </c>
      <c r="B60" s="138" t="s">
        <v>264</v>
      </c>
      <c r="C60" s="521"/>
      <c r="D60" s="139" t="s">
        <v>263</v>
      </c>
      <c r="E60" s="557"/>
    </row>
    <row r="61" spans="1:5" s="2" customFormat="1" ht="77.25" outlineLevel="1">
      <c r="A61" s="127" t="s">
        <v>265</v>
      </c>
      <c r="B61" s="138" t="s">
        <v>266</v>
      </c>
      <c r="C61" s="521"/>
      <c r="D61" s="139" t="s">
        <v>263</v>
      </c>
      <c r="E61" s="557"/>
    </row>
    <row r="62" spans="1:5" s="2" customFormat="1" ht="77.25" outlineLevel="1">
      <c r="A62" s="127" t="s">
        <v>267</v>
      </c>
      <c r="B62" s="138" t="s">
        <v>268</v>
      </c>
      <c r="C62" s="521"/>
      <c r="D62" s="139" t="s">
        <v>263</v>
      </c>
      <c r="E62" s="557"/>
    </row>
    <row r="63" spans="1:5" s="2" customFormat="1" ht="77.25" outlineLevel="1">
      <c r="A63" s="127" t="s">
        <v>269</v>
      </c>
      <c r="B63" s="138" t="s">
        <v>270</v>
      </c>
      <c r="C63" s="521"/>
      <c r="D63" s="139" t="s">
        <v>263</v>
      </c>
      <c r="E63" s="557"/>
    </row>
    <row r="64" spans="1:5" s="2" customFormat="1" ht="77.25" outlineLevel="1">
      <c r="A64" s="127" t="s">
        <v>271</v>
      </c>
      <c r="B64" s="138" t="s">
        <v>280</v>
      </c>
      <c r="C64" s="521"/>
      <c r="D64" s="139" t="s">
        <v>263</v>
      </c>
      <c r="E64" s="557"/>
    </row>
    <row r="65" spans="1:5" s="2" customFormat="1" ht="77.25" outlineLevel="1">
      <c r="A65" s="127" t="s">
        <v>273</v>
      </c>
      <c r="B65" s="138" t="s">
        <v>274</v>
      </c>
      <c r="C65" s="521"/>
      <c r="D65" s="139" t="s">
        <v>263</v>
      </c>
      <c r="E65" s="557"/>
    </row>
    <row r="66" spans="1:5" s="2" customFormat="1" ht="77.25" outlineLevel="1">
      <c r="A66" s="127" t="s">
        <v>275</v>
      </c>
      <c r="B66" s="138" t="s">
        <v>276</v>
      </c>
      <c r="C66" s="521"/>
      <c r="D66" s="139" t="s">
        <v>263</v>
      </c>
      <c r="E66" s="558"/>
    </row>
    <row r="67" spans="1:5" s="2" customFormat="1" ht="25.5" outlineLevel="1">
      <c r="A67" s="133" t="s">
        <v>27</v>
      </c>
      <c r="B67" s="520" t="s">
        <v>1449</v>
      </c>
      <c r="C67" s="520"/>
      <c r="D67" s="145"/>
      <c r="E67" s="464" t="s">
        <v>1467</v>
      </c>
    </row>
    <row r="68" spans="1:5" s="2" customFormat="1" ht="77.25" outlineLevel="1">
      <c r="A68" s="127" t="s">
        <v>120</v>
      </c>
      <c r="B68" s="138" t="s">
        <v>262</v>
      </c>
      <c r="C68" s="521" t="s">
        <v>695</v>
      </c>
      <c r="D68" s="139" t="s">
        <v>263</v>
      </c>
      <c r="E68" s="556" t="s">
        <v>1470</v>
      </c>
    </row>
    <row r="69" spans="1:5" s="2" customFormat="1" ht="77.25" outlineLevel="1">
      <c r="A69" s="127" t="s">
        <v>121</v>
      </c>
      <c r="B69" s="138" t="s">
        <v>264</v>
      </c>
      <c r="C69" s="521"/>
      <c r="D69" s="139" t="s">
        <v>263</v>
      </c>
      <c r="E69" s="557"/>
    </row>
    <row r="70" spans="1:5" s="2" customFormat="1" ht="77.25" outlineLevel="1">
      <c r="A70" s="127" t="s">
        <v>122</v>
      </c>
      <c r="B70" s="138" t="s">
        <v>266</v>
      </c>
      <c r="C70" s="521"/>
      <c r="D70" s="139" t="s">
        <v>263</v>
      </c>
      <c r="E70" s="557"/>
    </row>
    <row r="71" spans="1:5" s="2" customFormat="1" ht="77.25" outlineLevel="1">
      <c r="A71" s="127" t="s">
        <v>277</v>
      </c>
      <c r="B71" s="138" t="s">
        <v>268</v>
      </c>
      <c r="C71" s="521"/>
      <c r="D71" s="139" t="s">
        <v>263</v>
      </c>
      <c r="E71" s="557"/>
    </row>
    <row r="72" spans="1:5" s="2" customFormat="1" ht="77.25" outlineLevel="1">
      <c r="A72" s="127" t="s">
        <v>278</v>
      </c>
      <c r="B72" s="138" t="s">
        <v>270</v>
      </c>
      <c r="C72" s="521"/>
      <c r="D72" s="139" t="s">
        <v>263</v>
      </c>
      <c r="E72" s="557"/>
    </row>
    <row r="73" spans="1:5" s="2" customFormat="1" ht="77.25" outlineLevel="1">
      <c r="A73" s="127" t="s">
        <v>279</v>
      </c>
      <c r="B73" s="138" t="s">
        <v>280</v>
      </c>
      <c r="C73" s="521"/>
      <c r="D73" s="139" t="s">
        <v>263</v>
      </c>
      <c r="E73" s="557"/>
    </row>
    <row r="74" spans="1:5" s="2" customFormat="1" ht="77.25" outlineLevel="1">
      <c r="A74" s="127" t="s">
        <v>281</v>
      </c>
      <c r="B74" s="138" t="s">
        <v>274</v>
      </c>
      <c r="C74" s="521"/>
      <c r="D74" s="139" t="s">
        <v>263</v>
      </c>
      <c r="E74" s="557"/>
    </row>
    <row r="75" spans="1:5" s="2" customFormat="1" ht="77.25" outlineLevel="1">
      <c r="A75" s="127" t="s">
        <v>282</v>
      </c>
      <c r="B75" s="138" t="s">
        <v>276</v>
      </c>
      <c r="C75" s="521"/>
      <c r="D75" s="139" t="s">
        <v>263</v>
      </c>
      <c r="E75" s="558"/>
    </row>
    <row r="76" spans="1:5" s="2" customFormat="1" ht="63.75" outlineLevel="1">
      <c r="A76" s="127" t="s">
        <v>770</v>
      </c>
      <c r="B76" s="129" t="s">
        <v>769</v>
      </c>
      <c r="C76" s="147" t="s">
        <v>1359</v>
      </c>
      <c r="D76" s="139" t="s">
        <v>283</v>
      </c>
      <c r="E76" s="465" t="s">
        <v>1471</v>
      </c>
    </row>
    <row r="77" spans="1:5" s="2" customFormat="1" ht="15.75" outlineLevel="1">
      <c r="A77" s="148"/>
      <c r="B77" s="149"/>
      <c r="C77" s="150"/>
      <c r="D77" s="151"/>
      <c r="E77" s="466"/>
    </row>
    <row r="78" spans="1:5" s="2" customFormat="1" ht="15.75" outlineLevel="1">
      <c r="A78" s="156" t="s">
        <v>1381</v>
      </c>
      <c r="B78" s="157"/>
      <c r="C78" s="158"/>
      <c r="D78" s="159"/>
      <c r="E78" s="467"/>
    </row>
    <row r="79" spans="1:5" s="2" customFormat="1" ht="15.75" outlineLevel="1">
      <c r="A79" s="164" t="s">
        <v>1388</v>
      </c>
      <c r="B79" s="157"/>
      <c r="C79" s="158"/>
      <c r="D79" s="159"/>
      <c r="E79" s="467"/>
    </row>
    <row r="80" spans="1:5" s="2" customFormat="1" ht="15.75" outlineLevel="1">
      <c r="A80" s="164" t="s">
        <v>1389</v>
      </c>
      <c r="B80" s="157"/>
      <c r="C80" s="158"/>
      <c r="D80" s="159"/>
      <c r="E80" s="467"/>
    </row>
    <row r="81" spans="1:5" s="2" customFormat="1" ht="15.75" outlineLevel="1">
      <c r="A81" s="164" t="s">
        <v>1390</v>
      </c>
      <c r="B81" s="157"/>
      <c r="C81" s="158"/>
      <c r="D81" s="159"/>
      <c r="E81" s="467"/>
    </row>
    <row r="82" spans="1:5" s="2" customFormat="1" ht="15.75" outlineLevel="1">
      <c r="A82" s="164" t="s">
        <v>1391</v>
      </c>
      <c r="B82" s="157"/>
      <c r="C82" s="158"/>
      <c r="D82" s="159"/>
      <c r="E82" s="467"/>
    </row>
    <row r="83" spans="1:5" s="2" customFormat="1" ht="15.75" outlineLevel="1">
      <c r="A83" s="165"/>
      <c r="B83" s="166"/>
      <c r="C83" s="167"/>
      <c r="D83" s="168"/>
      <c r="E83" s="468"/>
    </row>
    <row r="84" spans="1:5" s="2" customFormat="1" ht="40.15" customHeight="1">
      <c r="A84" s="103">
        <v>4</v>
      </c>
      <c r="B84" s="173" t="s">
        <v>766</v>
      </c>
      <c r="C84" s="174"/>
      <c r="D84" s="175"/>
      <c r="E84" s="469"/>
    </row>
    <row r="85" spans="1:5" s="2" customFormat="1" ht="40.15" customHeight="1" outlineLevel="1">
      <c r="A85" s="516" t="s">
        <v>617</v>
      </c>
      <c r="B85" s="516"/>
      <c r="C85" s="517"/>
      <c r="D85" s="180"/>
      <c r="E85" s="470"/>
    </row>
    <row r="86" spans="1:5" s="2" customFormat="1" ht="63.75" outlineLevel="1">
      <c r="A86" s="183" t="s">
        <v>286</v>
      </c>
      <c r="B86" s="184" t="s">
        <v>1453</v>
      </c>
      <c r="C86" s="147" t="s">
        <v>960</v>
      </c>
      <c r="D86" s="185" t="s">
        <v>134</v>
      </c>
      <c r="E86" s="188" t="s">
        <v>1472</v>
      </c>
    </row>
    <row r="87" spans="1:5" s="2" customFormat="1" ht="63.75" outlineLevel="1">
      <c r="A87" s="183" t="s">
        <v>287</v>
      </c>
      <c r="B87" s="189" t="s">
        <v>653</v>
      </c>
      <c r="C87" s="189" t="s">
        <v>654</v>
      </c>
      <c r="D87" s="139" t="s">
        <v>284</v>
      </c>
      <c r="E87" s="471" t="s">
        <v>1473</v>
      </c>
    </row>
    <row r="88" spans="1:5" s="2" customFormat="1" ht="102" outlineLevel="1">
      <c r="A88" s="183" t="s">
        <v>288</v>
      </c>
      <c r="B88" s="189" t="s">
        <v>1016</v>
      </c>
      <c r="C88" s="189" t="s">
        <v>897</v>
      </c>
      <c r="D88" s="139" t="s">
        <v>651</v>
      </c>
      <c r="E88" s="471" t="s">
        <v>1474</v>
      </c>
    </row>
    <row r="89" spans="1:5" s="2" customFormat="1" ht="102" outlineLevel="1">
      <c r="A89" s="183" t="s">
        <v>289</v>
      </c>
      <c r="B89" s="189" t="s">
        <v>541</v>
      </c>
      <c r="C89" s="189" t="s">
        <v>1035</v>
      </c>
      <c r="D89" s="139" t="s">
        <v>285</v>
      </c>
      <c r="E89" s="465" t="s">
        <v>1475</v>
      </c>
    </row>
    <row r="90" spans="1:5" s="2" customFormat="1" ht="51" outlineLevel="1">
      <c r="A90" s="183" t="s">
        <v>788</v>
      </c>
      <c r="B90" s="189" t="s">
        <v>835</v>
      </c>
      <c r="C90" s="189" t="s">
        <v>834</v>
      </c>
      <c r="D90" s="139" t="s">
        <v>42</v>
      </c>
      <c r="E90" s="465" t="s">
        <v>1475</v>
      </c>
    </row>
    <row r="91" spans="1:5" s="2" customFormat="1" ht="51" outlineLevel="1">
      <c r="A91" s="183" t="s">
        <v>789</v>
      </c>
      <c r="B91" s="189" t="s">
        <v>836</v>
      </c>
      <c r="C91" s="189" t="s">
        <v>837</v>
      </c>
      <c r="D91" s="139" t="s">
        <v>42</v>
      </c>
      <c r="E91" s="465" t="s">
        <v>1475</v>
      </c>
    </row>
    <row r="92" spans="1:5" s="2" customFormat="1" ht="51" outlineLevel="1">
      <c r="A92" s="183" t="s">
        <v>820</v>
      </c>
      <c r="B92" s="189" t="s">
        <v>838</v>
      </c>
      <c r="C92" s="189" t="s">
        <v>839</v>
      </c>
      <c r="D92" s="139" t="s">
        <v>42</v>
      </c>
      <c r="E92" s="465" t="s">
        <v>1475</v>
      </c>
    </row>
    <row r="93" spans="1:5" s="2" customFormat="1" ht="51" outlineLevel="1">
      <c r="A93" s="183" t="s">
        <v>821</v>
      </c>
      <c r="B93" s="189" t="s">
        <v>840</v>
      </c>
      <c r="C93" s="189" t="s">
        <v>841</v>
      </c>
      <c r="D93" s="139" t="s">
        <v>42</v>
      </c>
      <c r="E93" s="465" t="s">
        <v>1475</v>
      </c>
    </row>
    <row r="94" spans="1:5" s="2" customFormat="1" ht="38.25" outlineLevel="1">
      <c r="A94" s="183" t="s">
        <v>964</v>
      </c>
      <c r="B94" s="147" t="s">
        <v>961</v>
      </c>
      <c r="C94" s="147" t="s">
        <v>963</v>
      </c>
      <c r="D94" s="185" t="s">
        <v>962</v>
      </c>
      <c r="E94" s="472" t="s">
        <v>1750</v>
      </c>
    </row>
    <row r="95" spans="1:5" s="2" customFormat="1" ht="51" outlineLevel="1">
      <c r="A95" s="183" t="s">
        <v>1814</v>
      </c>
      <c r="B95" s="147" t="s">
        <v>1815</v>
      </c>
      <c r="C95" s="147" t="s">
        <v>1816</v>
      </c>
      <c r="D95" s="185" t="s">
        <v>134</v>
      </c>
      <c r="E95" s="472" t="s">
        <v>1750</v>
      </c>
    </row>
    <row r="96" spans="1:5" s="2" customFormat="1" ht="76.5" outlineLevel="1">
      <c r="A96" s="183" t="s">
        <v>1817</v>
      </c>
      <c r="B96" s="147" t="s">
        <v>1818</v>
      </c>
      <c r="C96" s="147" t="s">
        <v>1819</v>
      </c>
      <c r="D96" s="185" t="s">
        <v>134</v>
      </c>
      <c r="E96" s="472" t="s">
        <v>1750</v>
      </c>
    </row>
    <row r="97" spans="1:5" s="2" customFormat="1" ht="216.75" outlineLevel="1">
      <c r="A97" s="133" t="s">
        <v>17</v>
      </c>
      <c r="B97" s="191" t="s">
        <v>1454</v>
      </c>
      <c r="C97" s="191" t="s">
        <v>1772</v>
      </c>
      <c r="D97" s="192"/>
      <c r="E97" s="473" t="s">
        <v>1771</v>
      </c>
    </row>
    <row r="98" spans="1:5" s="2" customFormat="1" ht="25.5" outlineLevel="1">
      <c r="A98" s="127" t="s">
        <v>290</v>
      </c>
      <c r="B98" s="197" t="s">
        <v>95</v>
      </c>
      <c r="C98" s="147"/>
      <c r="D98" s="185" t="s">
        <v>721</v>
      </c>
      <c r="E98" s="550" t="s">
        <v>1759</v>
      </c>
    </row>
    <row r="99" spans="1:5" s="2" customFormat="1" ht="25.5" outlineLevel="1">
      <c r="A99" s="127" t="s">
        <v>291</v>
      </c>
      <c r="B99" s="197" t="s">
        <v>99</v>
      </c>
      <c r="C99" s="147"/>
      <c r="D99" s="185" t="s">
        <v>721</v>
      </c>
      <c r="E99" s="551"/>
    </row>
    <row r="100" spans="1:5" s="2" customFormat="1" ht="25.5" outlineLevel="1">
      <c r="A100" s="127" t="s">
        <v>292</v>
      </c>
      <c r="B100" s="197" t="s">
        <v>1417</v>
      </c>
      <c r="C100" s="147"/>
      <c r="D100" s="185" t="s">
        <v>721</v>
      </c>
      <c r="E100" s="551"/>
    </row>
    <row r="101" spans="1:5" s="2" customFormat="1" ht="25.5" outlineLevel="1">
      <c r="A101" s="127" t="s">
        <v>293</v>
      </c>
      <c r="B101" s="197" t="s">
        <v>1418</v>
      </c>
      <c r="C101" s="147"/>
      <c r="D101" s="185" t="s">
        <v>721</v>
      </c>
      <c r="E101" s="551"/>
    </row>
    <row r="102" spans="1:5" s="2" customFormat="1" ht="25.5" outlineLevel="1">
      <c r="A102" s="127" t="s">
        <v>294</v>
      </c>
      <c r="B102" s="197" t="s">
        <v>100</v>
      </c>
      <c r="C102" s="147"/>
      <c r="D102" s="185" t="s">
        <v>721</v>
      </c>
      <c r="E102" s="551"/>
    </row>
    <row r="103" spans="1:5" s="2" customFormat="1" ht="25.5" outlineLevel="1">
      <c r="A103" s="127" t="s">
        <v>295</v>
      </c>
      <c r="B103" s="197" t="s">
        <v>1419</v>
      </c>
      <c r="C103" s="147"/>
      <c r="D103" s="185" t="s">
        <v>721</v>
      </c>
      <c r="E103" s="551"/>
    </row>
    <row r="104" spans="1:5" s="2" customFormat="1" ht="25.5" outlineLevel="1">
      <c r="A104" s="127" t="s">
        <v>296</v>
      </c>
      <c r="B104" s="202" t="s">
        <v>898</v>
      </c>
      <c r="C104" s="147"/>
      <c r="D104" s="185" t="s">
        <v>721</v>
      </c>
      <c r="E104" s="552"/>
    </row>
    <row r="105" spans="1:5" s="2" customFormat="1" ht="229.5" outlineLevel="1">
      <c r="A105" s="133" t="s">
        <v>18</v>
      </c>
      <c r="B105" s="191" t="s">
        <v>1455</v>
      </c>
      <c r="C105" s="191" t="s">
        <v>1774</v>
      </c>
      <c r="D105" s="192"/>
      <c r="E105" s="473" t="s">
        <v>1476</v>
      </c>
    </row>
    <row r="106" spans="1:5" s="2" customFormat="1" ht="40.15" customHeight="1" outlineLevel="1">
      <c r="A106" s="127" t="s">
        <v>297</v>
      </c>
      <c r="B106" s="197" t="s">
        <v>95</v>
      </c>
      <c r="C106" s="204"/>
      <c r="D106" s="185" t="s">
        <v>721</v>
      </c>
      <c r="E106" s="550" t="s">
        <v>1760</v>
      </c>
    </row>
    <row r="107" spans="1:5" s="2" customFormat="1" ht="40.15" customHeight="1" outlineLevel="1">
      <c r="A107" s="127" t="s">
        <v>298</v>
      </c>
      <c r="B107" s="197" t="s">
        <v>99</v>
      </c>
      <c r="C107" s="204"/>
      <c r="D107" s="185" t="s">
        <v>721</v>
      </c>
      <c r="E107" s="551"/>
    </row>
    <row r="108" spans="1:5" s="2" customFormat="1" ht="40.15" customHeight="1" outlineLevel="1">
      <c r="A108" s="127" t="s">
        <v>299</v>
      </c>
      <c r="B108" s="197" t="s">
        <v>1417</v>
      </c>
      <c r="C108" s="204"/>
      <c r="D108" s="185" t="s">
        <v>721</v>
      </c>
      <c r="E108" s="551"/>
    </row>
    <row r="109" spans="1:5" s="2" customFormat="1" ht="40.15" customHeight="1" outlineLevel="1">
      <c r="A109" s="127" t="s">
        <v>300</v>
      </c>
      <c r="B109" s="197" t="s">
        <v>1418</v>
      </c>
      <c r="C109" s="204"/>
      <c r="D109" s="185" t="s">
        <v>721</v>
      </c>
      <c r="E109" s="551"/>
    </row>
    <row r="110" spans="1:5" s="2" customFormat="1" ht="40.15" customHeight="1" outlineLevel="1">
      <c r="A110" s="127" t="s">
        <v>301</v>
      </c>
      <c r="B110" s="197" t="s">
        <v>100</v>
      </c>
      <c r="C110" s="204"/>
      <c r="D110" s="185" t="s">
        <v>721</v>
      </c>
      <c r="E110" s="551"/>
    </row>
    <row r="111" spans="1:5" s="2" customFormat="1" ht="40.15" customHeight="1" outlineLevel="1">
      <c r="A111" s="127" t="s">
        <v>302</v>
      </c>
      <c r="B111" s="197" t="s">
        <v>1419</v>
      </c>
      <c r="C111" s="205"/>
      <c r="D111" s="185" t="s">
        <v>721</v>
      </c>
      <c r="E111" s="551"/>
    </row>
    <row r="112" spans="1:5" s="2" customFormat="1" ht="40.15" customHeight="1" outlineLevel="1">
      <c r="A112" s="127" t="s">
        <v>303</v>
      </c>
      <c r="B112" s="202" t="s">
        <v>898</v>
      </c>
      <c r="C112" s="205"/>
      <c r="D112" s="185" t="s">
        <v>721</v>
      </c>
      <c r="E112" s="552"/>
    </row>
    <row r="113" spans="1:5" s="2" customFormat="1" ht="153" outlineLevel="1">
      <c r="A113" s="133" t="s">
        <v>24</v>
      </c>
      <c r="B113" s="191" t="s">
        <v>1456</v>
      </c>
      <c r="C113" s="191" t="s">
        <v>1776</v>
      </c>
      <c r="D113" s="192"/>
      <c r="E113" s="473" t="s">
        <v>1477</v>
      </c>
    </row>
    <row r="114" spans="1:5" s="2" customFormat="1" ht="25.5" outlineLevel="1">
      <c r="A114" s="127" t="s">
        <v>28</v>
      </c>
      <c r="B114" s="197" t="s">
        <v>95</v>
      </c>
      <c r="C114" s="147"/>
      <c r="D114" s="185" t="s">
        <v>721</v>
      </c>
      <c r="E114" s="550" t="s">
        <v>1761</v>
      </c>
    </row>
    <row r="115" spans="1:5" s="2" customFormat="1" ht="25.5" outlineLevel="1">
      <c r="A115" s="127" t="s">
        <v>29</v>
      </c>
      <c r="B115" s="197" t="s">
        <v>99</v>
      </c>
      <c r="C115" s="206"/>
      <c r="D115" s="185" t="s">
        <v>721</v>
      </c>
      <c r="E115" s="551"/>
    </row>
    <row r="116" spans="1:5" s="2" customFormat="1" ht="25.5" outlineLevel="1">
      <c r="A116" s="127" t="s">
        <v>396</v>
      </c>
      <c r="B116" s="197" t="s">
        <v>1417</v>
      </c>
      <c r="C116" s="201"/>
      <c r="D116" s="185" t="s">
        <v>721</v>
      </c>
      <c r="E116" s="551"/>
    </row>
    <row r="117" spans="1:5" s="2" customFormat="1" ht="25.5" outlineLevel="1">
      <c r="A117" s="127" t="s">
        <v>397</v>
      </c>
      <c r="B117" s="197" t="s">
        <v>1418</v>
      </c>
      <c r="C117" s="206"/>
      <c r="D117" s="185" t="s">
        <v>721</v>
      </c>
      <c r="E117" s="551"/>
    </row>
    <row r="118" spans="1:5" s="2" customFormat="1" ht="25.5" outlineLevel="1">
      <c r="A118" s="127" t="s">
        <v>395</v>
      </c>
      <c r="B118" s="197" t="s">
        <v>100</v>
      </c>
      <c r="C118" s="207"/>
      <c r="D118" s="185" t="s">
        <v>721</v>
      </c>
      <c r="E118" s="551"/>
    </row>
    <row r="119" spans="1:5" s="2" customFormat="1" ht="25.5" outlineLevel="1">
      <c r="A119" s="127" t="s">
        <v>398</v>
      </c>
      <c r="B119" s="197" t="s">
        <v>1419</v>
      </c>
      <c r="C119" s="207"/>
      <c r="D119" s="185" t="s">
        <v>721</v>
      </c>
      <c r="E119" s="551"/>
    </row>
    <row r="120" spans="1:5" s="2" customFormat="1" ht="25.5" outlineLevel="1">
      <c r="A120" s="127" t="s">
        <v>399</v>
      </c>
      <c r="B120" s="197" t="s">
        <v>125</v>
      </c>
      <c r="C120" s="207"/>
      <c r="D120" s="185" t="s">
        <v>721</v>
      </c>
      <c r="E120" s="552"/>
    </row>
    <row r="121" spans="1:5" s="2" customFormat="1" ht="38.25" outlineLevel="1">
      <c r="A121" s="133" t="s">
        <v>30</v>
      </c>
      <c r="B121" s="191" t="s">
        <v>108</v>
      </c>
      <c r="C121" s="191" t="s">
        <v>50</v>
      </c>
      <c r="D121" s="192"/>
      <c r="E121" s="474" t="s">
        <v>1479</v>
      </c>
    </row>
    <row r="122" spans="1:5" s="2" customFormat="1" ht="38.25" outlineLevel="1">
      <c r="A122" s="127" t="s">
        <v>423</v>
      </c>
      <c r="B122" s="208" t="s">
        <v>109</v>
      </c>
      <c r="C122" s="147"/>
      <c r="D122" s="185" t="s">
        <v>51</v>
      </c>
      <c r="E122" s="549" t="s">
        <v>1480</v>
      </c>
    </row>
    <row r="123" spans="1:5" s="2" customFormat="1" ht="38.25" outlineLevel="1">
      <c r="A123" s="127" t="s">
        <v>424</v>
      </c>
      <c r="B123" s="208" t="s">
        <v>110</v>
      </c>
      <c r="C123" s="147"/>
      <c r="D123" s="185" t="s">
        <v>51</v>
      </c>
      <c r="E123" s="546"/>
    </row>
    <row r="124" spans="1:5" s="2" customFormat="1" ht="38.25" outlineLevel="1">
      <c r="A124" s="127" t="s">
        <v>425</v>
      </c>
      <c r="B124" s="208" t="s">
        <v>113</v>
      </c>
      <c r="C124" s="147"/>
      <c r="D124" s="185" t="s">
        <v>51</v>
      </c>
      <c r="E124" s="546"/>
    </row>
    <row r="125" spans="1:5" s="2" customFormat="1" ht="38.25" outlineLevel="1">
      <c r="A125" s="127" t="s">
        <v>426</v>
      </c>
      <c r="B125" s="208" t="s">
        <v>114</v>
      </c>
      <c r="C125" s="147"/>
      <c r="D125" s="185" t="s">
        <v>51</v>
      </c>
      <c r="E125" s="546"/>
    </row>
    <row r="126" spans="1:5" s="2" customFormat="1" ht="38.25" outlineLevel="1">
      <c r="A126" s="127" t="s">
        <v>427</v>
      </c>
      <c r="B126" s="208" t="s">
        <v>111</v>
      </c>
      <c r="C126" s="147"/>
      <c r="D126" s="185" t="s">
        <v>51</v>
      </c>
      <c r="E126" s="546"/>
    </row>
    <row r="127" spans="1:5" s="2" customFormat="1" ht="38.25" outlineLevel="1">
      <c r="A127" s="127" t="s">
        <v>428</v>
      </c>
      <c r="B127" s="208" t="s">
        <v>112</v>
      </c>
      <c r="C127" s="147"/>
      <c r="D127" s="185" t="s">
        <v>51</v>
      </c>
      <c r="E127" s="536"/>
    </row>
    <row r="128" spans="1:5" s="2" customFormat="1" ht="89.25" outlineLevel="1">
      <c r="A128" s="133" t="s">
        <v>31</v>
      </c>
      <c r="B128" s="191" t="s">
        <v>786</v>
      </c>
      <c r="C128" s="191" t="s">
        <v>780</v>
      </c>
      <c r="D128" s="192"/>
      <c r="E128" s="475" t="s">
        <v>1481</v>
      </c>
    </row>
    <row r="129" spans="1:5" s="2" customFormat="1" ht="30" customHeight="1" outlineLevel="1">
      <c r="A129" s="127" t="s">
        <v>400</v>
      </c>
      <c r="B129" s="208" t="s">
        <v>781</v>
      </c>
      <c r="C129" s="147"/>
      <c r="D129" s="185" t="s">
        <v>518</v>
      </c>
      <c r="E129" s="549" t="s">
        <v>1482</v>
      </c>
    </row>
    <row r="130" spans="1:5" s="2" customFormat="1" ht="30" customHeight="1" outlineLevel="1">
      <c r="A130" s="127" t="s">
        <v>401</v>
      </c>
      <c r="B130" s="208" t="s">
        <v>782</v>
      </c>
      <c r="C130" s="147"/>
      <c r="D130" s="185" t="s">
        <v>518</v>
      </c>
      <c r="E130" s="546"/>
    </row>
    <row r="131" spans="1:5" s="2" customFormat="1" ht="30" customHeight="1" outlineLevel="1">
      <c r="A131" s="127" t="s">
        <v>402</v>
      </c>
      <c r="B131" s="208" t="s">
        <v>787</v>
      </c>
      <c r="C131" s="147"/>
      <c r="D131" s="185" t="s">
        <v>518</v>
      </c>
      <c r="E131" s="546"/>
    </row>
    <row r="132" spans="1:5" s="2" customFormat="1" ht="30" customHeight="1" outlineLevel="1">
      <c r="A132" s="127" t="s">
        <v>403</v>
      </c>
      <c r="B132" s="208" t="s">
        <v>783</v>
      </c>
      <c r="C132" s="147"/>
      <c r="D132" s="185" t="s">
        <v>518</v>
      </c>
      <c r="E132" s="546"/>
    </row>
    <row r="133" spans="1:5" s="2" customFormat="1" ht="30" customHeight="1" outlineLevel="1">
      <c r="A133" s="127" t="s">
        <v>404</v>
      </c>
      <c r="B133" s="208" t="s">
        <v>784</v>
      </c>
      <c r="C133" s="147"/>
      <c r="D133" s="185" t="s">
        <v>518</v>
      </c>
      <c r="E133" s="536"/>
    </row>
    <row r="134" spans="1:5" s="2" customFormat="1" ht="191.25" outlineLevel="1">
      <c r="A134" s="212" t="s">
        <v>32</v>
      </c>
      <c r="B134" s="191" t="s">
        <v>1450</v>
      </c>
      <c r="C134" s="191" t="s">
        <v>1783</v>
      </c>
      <c r="D134" s="192"/>
      <c r="E134" s="473" t="s">
        <v>1483</v>
      </c>
    </row>
    <row r="135" spans="1:5" s="2" customFormat="1" ht="15.75" outlineLevel="1">
      <c r="A135" s="127" t="s">
        <v>405</v>
      </c>
      <c r="B135" s="197" t="s">
        <v>965</v>
      </c>
      <c r="C135" s="205"/>
      <c r="D135" s="185" t="s">
        <v>2</v>
      </c>
      <c r="E135" s="550" t="s">
        <v>1484</v>
      </c>
    </row>
    <row r="136" spans="1:5" s="2" customFormat="1" ht="15.75" outlineLevel="1">
      <c r="A136" s="127" t="s">
        <v>406</v>
      </c>
      <c r="B136" s="197" t="s">
        <v>966</v>
      </c>
      <c r="C136" s="205"/>
      <c r="D136" s="185" t="s">
        <v>2</v>
      </c>
      <c r="E136" s="551"/>
    </row>
    <row r="137" spans="1:5" s="2" customFormat="1" ht="15.75" outlineLevel="1">
      <c r="A137" s="127" t="s">
        <v>407</v>
      </c>
      <c r="B137" s="197" t="s">
        <v>967</v>
      </c>
      <c r="C137" s="205"/>
      <c r="D137" s="185" t="s">
        <v>2</v>
      </c>
      <c r="E137" s="551"/>
    </row>
    <row r="138" spans="1:5" s="2" customFormat="1" ht="15.75" outlineLevel="1">
      <c r="A138" s="127" t="s">
        <v>408</v>
      </c>
      <c r="B138" s="197" t="s">
        <v>1392</v>
      </c>
      <c r="C138" s="204"/>
      <c r="D138" s="185" t="s">
        <v>2</v>
      </c>
      <c r="E138" s="551"/>
    </row>
    <row r="139" spans="1:5" s="2" customFormat="1" ht="15.75" outlineLevel="1">
      <c r="A139" s="127" t="s">
        <v>409</v>
      </c>
      <c r="B139" s="197" t="s">
        <v>1393</v>
      </c>
      <c r="C139" s="204"/>
      <c r="D139" s="185" t="s">
        <v>2</v>
      </c>
      <c r="E139" s="551"/>
    </row>
    <row r="140" spans="1:5" s="2" customFormat="1" ht="15.75" outlineLevel="1">
      <c r="A140" s="127" t="s">
        <v>410</v>
      </c>
      <c r="B140" s="197" t="s">
        <v>1394</v>
      </c>
      <c r="C140" s="204"/>
      <c r="D140" s="185" t="s">
        <v>2</v>
      </c>
      <c r="E140" s="551"/>
    </row>
    <row r="141" spans="1:5" s="2" customFormat="1" ht="15.75" outlineLevel="1">
      <c r="A141" s="127" t="s">
        <v>411</v>
      </c>
      <c r="B141" s="197" t="s">
        <v>968</v>
      </c>
      <c r="C141" s="204"/>
      <c r="D141" s="185" t="s">
        <v>2</v>
      </c>
      <c r="E141" s="551"/>
    </row>
    <row r="142" spans="1:5" s="2" customFormat="1" ht="15.75" outlineLevel="1">
      <c r="A142" s="127" t="s">
        <v>412</v>
      </c>
      <c r="B142" s="197" t="s">
        <v>1395</v>
      </c>
      <c r="C142" s="205"/>
      <c r="D142" s="185" t="s">
        <v>2</v>
      </c>
      <c r="E142" s="551"/>
    </row>
    <row r="143" spans="1:5" s="2" customFormat="1" ht="15.75" outlineLevel="1">
      <c r="A143" s="127" t="s">
        <v>413</v>
      </c>
      <c r="B143" s="197" t="s">
        <v>969</v>
      </c>
      <c r="C143" s="205"/>
      <c r="D143" s="185" t="s">
        <v>2</v>
      </c>
      <c r="E143" s="551"/>
    </row>
    <row r="144" spans="1:5" s="2" customFormat="1" ht="15.75" outlineLevel="1">
      <c r="A144" s="127" t="s">
        <v>973</v>
      </c>
      <c r="B144" s="213" t="s">
        <v>1396</v>
      </c>
      <c r="C144" s="205"/>
      <c r="D144" s="185" t="s">
        <v>2</v>
      </c>
      <c r="E144" s="551"/>
    </row>
    <row r="145" spans="1:5" s="2" customFormat="1" ht="15.75" outlineLevel="1">
      <c r="A145" s="127" t="s">
        <v>974</v>
      </c>
      <c r="B145" s="213" t="s">
        <v>1397</v>
      </c>
      <c r="C145" s="205"/>
      <c r="D145" s="185" t="s">
        <v>2</v>
      </c>
      <c r="E145" s="551"/>
    </row>
    <row r="146" spans="1:5" s="2" customFormat="1" ht="15.75" outlineLevel="1">
      <c r="A146" s="127" t="s">
        <v>975</v>
      </c>
      <c r="B146" s="213" t="s">
        <v>1398</v>
      </c>
      <c r="C146" s="205"/>
      <c r="D146" s="185" t="s">
        <v>2</v>
      </c>
      <c r="E146" s="551"/>
    </row>
    <row r="147" spans="1:5" s="2" customFormat="1" ht="15.75" outlineLevel="1">
      <c r="A147" s="127" t="s">
        <v>976</v>
      </c>
      <c r="B147" s="213" t="s">
        <v>1421</v>
      </c>
      <c r="C147" s="205"/>
      <c r="D147" s="185" t="s">
        <v>2</v>
      </c>
      <c r="E147" s="551"/>
    </row>
    <row r="148" spans="1:5" s="2" customFormat="1" ht="15.75" outlineLevel="1">
      <c r="A148" s="127" t="s">
        <v>977</v>
      </c>
      <c r="B148" s="213" t="s">
        <v>1400</v>
      </c>
      <c r="C148" s="205"/>
      <c r="D148" s="185" t="s">
        <v>2</v>
      </c>
      <c r="E148" s="551"/>
    </row>
    <row r="149" spans="1:5" s="2" customFormat="1" ht="15.75" outlineLevel="1">
      <c r="A149" s="127" t="s">
        <v>978</v>
      </c>
      <c r="B149" s="213" t="s">
        <v>1401</v>
      </c>
      <c r="C149" s="205"/>
      <c r="D149" s="185" t="s">
        <v>2</v>
      </c>
      <c r="E149" s="551"/>
    </row>
    <row r="150" spans="1:5" s="2" customFormat="1" ht="15.75" outlineLevel="1">
      <c r="A150" s="127" t="s">
        <v>979</v>
      </c>
      <c r="B150" s="213" t="s">
        <v>970</v>
      </c>
      <c r="C150" s="205"/>
      <c r="D150" s="185" t="s">
        <v>2</v>
      </c>
      <c r="E150" s="551"/>
    </row>
    <row r="151" spans="1:5" s="2" customFormat="1" ht="15.75" outlineLevel="1">
      <c r="A151" s="127" t="s">
        <v>980</v>
      </c>
      <c r="B151" s="213" t="s">
        <v>1402</v>
      </c>
      <c r="C151" s="205"/>
      <c r="D151" s="185" t="s">
        <v>2</v>
      </c>
      <c r="E151" s="551"/>
    </row>
    <row r="152" spans="1:5" s="2" customFormat="1" ht="15.75" outlineLevel="1">
      <c r="A152" s="127" t="s">
        <v>981</v>
      </c>
      <c r="B152" s="213" t="s">
        <v>1403</v>
      </c>
      <c r="C152" s="205"/>
      <c r="D152" s="185" t="s">
        <v>2</v>
      </c>
      <c r="E152" s="551"/>
    </row>
    <row r="153" spans="1:5" s="2" customFormat="1" ht="15.75" outlineLevel="1">
      <c r="A153" s="127" t="s">
        <v>982</v>
      </c>
      <c r="B153" s="213" t="s">
        <v>971</v>
      </c>
      <c r="C153" s="205"/>
      <c r="D153" s="185" t="s">
        <v>2</v>
      </c>
      <c r="E153" s="551"/>
    </row>
    <row r="154" spans="1:5" s="2" customFormat="1" ht="15.75" outlineLevel="1">
      <c r="A154" s="127" t="s">
        <v>983</v>
      </c>
      <c r="B154" s="213" t="s">
        <v>1420</v>
      </c>
      <c r="C154" s="205"/>
      <c r="D154" s="185" t="s">
        <v>2</v>
      </c>
      <c r="E154" s="551"/>
    </row>
    <row r="155" spans="1:5" s="2" customFormat="1" ht="15.75" outlineLevel="1">
      <c r="A155" s="127" t="s">
        <v>984</v>
      </c>
      <c r="B155" s="213" t="s">
        <v>972</v>
      </c>
      <c r="C155" s="205"/>
      <c r="D155" s="185" t="s">
        <v>2</v>
      </c>
      <c r="E155" s="552"/>
    </row>
    <row r="156" spans="1:5" s="2" customFormat="1" ht="204" outlineLevel="1">
      <c r="A156" s="214" t="s">
        <v>33</v>
      </c>
      <c r="B156" s="191" t="s">
        <v>1451</v>
      </c>
      <c r="C156" s="191" t="s">
        <v>1784</v>
      </c>
      <c r="D156" s="192"/>
      <c r="E156" s="473" t="s">
        <v>1485</v>
      </c>
    </row>
    <row r="157" spans="1:5" s="2" customFormat="1" ht="15.75" outlineLevel="1">
      <c r="A157" s="215" t="s">
        <v>34</v>
      </c>
      <c r="B157" s="197" t="s">
        <v>965</v>
      </c>
      <c r="C157" s="147"/>
      <c r="D157" s="185" t="s">
        <v>2</v>
      </c>
      <c r="E157" s="550" t="s">
        <v>1486</v>
      </c>
    </row>
    <row r="158" spans="1:5" s="2" customFormat="1" ht="15.75" outlineLevel="1">
      <c r="A158" s="215" t="s">
        <v>35</v>
      </c>
      <c r="B158" s="197" t="s">
        <v>966</v>
      </c>
      <c r="C158" s="147"/>
      <c r="D158" s="185" t="s">
        <v>2</v>
      </c>
      <c r="E158" s="551"/>
    </row>
    <row r="159" spans="1:5" s="2" customFormat="1" ht="15.75" outlineLevel="1">
      <c r="A159" s="215" t="s">
        <v>36</v>
      </c>
      <c r="B159" s="197" t="s">
        <v>967</v>
      </c>
      <c r="C159" s="147"/>
      <c r="D159" s="185" t="s">
        <v>2</v>
      </c>
      <c r="E159" s="551"/>
    </row>
    <row r="160" spans="1:5" s="2" customFormat="1" ht="15.75" outlineLevel="1">
      <c r="A160" s="215" t="s">
        <v>414</v>
      </c>
      <c r="B160" s="197" t="s">
        <v>1392</v>
      </c>
      <c r="C160" s="147"/>
      <c r="D160" s="185" t="s">
        <v>2</v>
      </c>
      <c r="E160" s="551"/>
    </row>
    <row r="161" spans="1:5" s="2" customFormat="1" ht="15.75" outlineLevel="1">
      <c r="A161" s="215" t="s">
        <v>415</v>
      </c>
      <c r="B161" s="197" t="s">
        <v>1393</v>
      </c>
      <c r="C161" s="147"/>
      <c r="D161" s="185" t="s">
        <v>2</v>
      </c>
      <c r="E161" s="551"/>
    </row>
    <row r="162" spans="1:5" s="2" customFormat="1" ht="15.75" outlineLevel="1">
      <c r="A162" s="215" t="s">
        <v>416</v>
      </c>
      <c r="B162" s="197" t="s">
        <v>1394</v>
      </c>
      <c r="C162" s="147"/>
      <c r="D162" s="185" t="s">
        <v>2</v>
      </c>
      <c r="E162" s="551"/>
    </row>
    <row r="163" spans="1:5" s="2" customFormat="1" ht="15.75" outlineLevel="1">
      <c r="A163" s="215" t="s">
        <v>417</v>
      </c>
      <c r="B163" s="197" t="s">
        <v>968</v>
      </c>
      <c r="C163" s="147"/>
      <c r="D163" s="185" t="s">
        <v>2</v>
      </c>
      <c r="E163" s="551"/>
    </row>
    <row r="164" spans="1:5" s="2" customFormat="1" ht="15.75" outlineLevel="1">
      <c r="A164" s="215" t="s">
        <v>418</v>
      </c>
      <c r="B164" s="197" t="s">
        <v>1395</v>
      </c>
      <c r="C164" s="147"/>
      <c r="D164" s="185" t="s">
        <v>2</v>
      </c>
      <c r="E164" s="551"/>
    </row>
    <row r="165" spans="1:5" s="2" customFormat="1" ht="15.75" outlineLevel="1">
      <c r="A165" s="215" t="s">
        <v>419</v>
      </c>
      <c r="B165" s="197" t="s">
        <v>969</v>
      </c>
      <c r="C165" s="147"/>
      <c r="D165" s="185" t="s">
        <v>2</v>
      </c>
      <c r="E165" s="551"/>
    </row>
    <row r="166" spans="1:5" s="2" customFormat="1" ht="15.75" outlineLevel="1">
      <c r="A166" s="215" t="s">
        <v>985</v>
      </c>
      <c r="B166" s="197" t="s">
        <v>1396</v>
      </c>
      <c r="C166" s="147"/>
      <c r="D166" s="185" t="s">
        <v>2</v>
      </c>
      <c r="E166" s="551"/>
    </row>
    <row r="167" spans="1:5" s="2" customFormat="1" ht="15.75" outlineLevel="1">
      <c r="A167" s="215" t="s">
        <v>986</v>
      </c>
      <c r="B167" s="197" t="s">
        <v>1397</v>
      </c>
      <c r="C167" s="147"/>
      <c r="D167" s="185" t="s">
        <v>2</v>
      </c>
      <c r="E167" s="551"/>
    </row>
    <row r="168" spans="1:5" s="2" customFormat="1" ht="15.75" outlineLevel="1">
      <c r="A168" s="215" t="s">
        <v>987</v>
      </c>
      <c r="B168" s="197" t="s">
        <v>1398</v>
      </c>
      <c r="C168" s="147"/>
      <c r="D168" s="185" t="s">
        <v>2</v>
      </c>
      <c r="E168" s="551"/>
    </row>
    <row r="169" spans="1:5" s="2" customFormat="1" ht="15.75" outlineLevel="1">
      <c r="A169" s="215" t="s">
        <v>988</v>
      </c>
      <c r="B169" s="197" t="s">
        <v>1399</v>
      </c>
      <c r="C169" s="147"/>
      <c r="D169" s="185" t="s">
        <v>2</v>
      </c>
      <c r="E169" s="551"/>
    </row>
    <row r="170" spans="1:5" s="2" customFormat="1" ht="15.75" outlineLevel="1">
      <c r="A170" s="215" t="s">
        <v>989</v>
      </c>
      <c r="B170" s="197" t="s">
        <v>1400</v>
      </c>
      <c r="C170" s="147"/>
      <c r="D170" s="185" t="s">
        <v>2</v>
      </c>
      <c r="E170" s="551"/>
    </row>
    <row r="171" spans="1:5" s="2" customFormat="1" ht="15.75" outlineLevel="1">
      <c r="A171" s="215" t="s">
        <v>990</v>
      </c>
      <c r="B171" s="197" t="s">
        <v>1401</v>
      </c>
      <c r="C171" s="147"/>
      <c r="D171" s="185" t="s">
        <v>2</v>
      </c>
      <c r="E171" s="551"/>
    </row>
    <row r="172" spans="1:5" s="2" customFormat="1" ht="15.75" outlineLevel="1">
      <c r="A172" s="215" t="s">
        <v>991</v>
      </c>
      <c r="B172" s="197" t="s">
        <v>970</v>
      </c>
      <c r="C172" s="147"/>
      <c r="D172" s="185" t="s">
        <v>2</v>
      </c>
      <c r="E172" s="551"/>
    </row>
    <row r="173" spans="1:5" s="2" customFormat="1" ht="15.75" outlineLevel="1">
      <c r="A173" s="215" t="s">
        <v>992</v>
      </c>
      <c r="B173" s="197" t="s">
        <v>1402</v>
      </c>
      <c r="C173" s="147"/>
      <c r="D173" s="185" t="s">
        <v>2</v>
      </c>
      <c r="E173" s="551"/>
    </row>
    <row r="174" spans="1:5" s="2" customFormat="1" ht="15.75" outlineLevel="1">
      <c r="A174" s="215" t="s">
        <v>993</v>
      </c>
      <c r="B174" s="197" t="s">
        <v>1403</v>
      </c>
      <c r="C174" s="205"/>
      <c r="D174" s="185" t="s">
        <v>2</v>
      </c>
      <c r="E174" s="551"/>
    </row>
    <row r="175" spans="1:5" s="2" customFormat="1" ht="15.75" outlineLevel="1">
      <c r="A175" s="215" t="s">
        <v>994</v>
      </c>
      <c r="B175" s="197" t="s">
        <v>971</v>
      </c>
      <c r="C175" s="205"/>
      <c r="D175" s="185" t="s">
        <v>2</v>
      </c>
      <c r="E175" s="551"/>
    </row>
    <row r="176" spans="1:5" s="2" customFormat="1" ht="15.75" outlineLevel="1">
      <c r="A176" s="215" t="s">
        <v>995</v>
      </c>
      <c r="B176" s="197" t="s">
        <v>1404</v>
      </c>
      <c r="C176" s="205"/>
      <c r="D176" s="185" t="s">
        <v>2</v>
      </c>
      <c r="E176" s="551"/>
    </row>
    <row r="177" spans="1:5" s="2" customFormat="1" ht="15.75" outlineLevel="1">
      <c r="A177" s="215" t="s">
        <v>996</v>
      </c>
      <c r="B177" s="197" t="s">
        <v>972</v>
      </c>
      <c r="C177" s="205"/>
      <c r="D177" s="185" t="s">
        <v>2</v>
      </c>
      <c r="E177" s="552"/>
    </row>
    <row r="178" spans="1:5" s="2" customFormat="1" ht="165.75" outlineLevel="1">
      <c r="A178" s="214" t="s">
        <v>37</v>
      </c>
      <c r="B178" s="191" t="s">
        <v>1452</v>
      </c>
      <c r="C178" s="191" t="s">
        <v>1782</v>
      </c>
      <c r="D178" s="192"/>
      <c r="E178" s="473" t="s">
        <v>1487</v>
      </c>
    </row>
    <row r="179" spans="1:5" s="2" customFormat="1" ht="15.75" outlineLevel="1">
      <c r="A179" s="215" t="s">
        <v>531</v>
      </c>
      <c r="B179" s="197" t="s">
        <v>965</v>
      </c>
      <c r="C179" s="147"/>
      <c r="D179" s="185" t="s">
        <v>2</v>
      </c>
      <c r="E179" s="550" t="s">
        <v>1488</v>
      </c>
    </row>
    <row r="180" spans="1:5" s="2" customFormat="1" ht="15.75" outlineLevel="1">
      <c r="A180" s="215" t="s">
        <v>532</v>
      </c>
      <c r="B180" s="197" t="s">
        <v>966</v>
      </c>
      <c r="C180" s="147"/>
      <c r="D180" s="185" t="s">
        <v>2</v>
      </c>
      <c r="E180" s="551"/>
    </row>
    <row r="181" spans="1:5" s="2" customFormat="1" ht="15.75" outlineLevel="1">
      <c r="A181" s="215" t="s">
        <v>533</v>
      </c>
      <c r="B181" s="197" t="s">
        <v>967</v>
      </c>
      <c r="C181" s="147"/>
      <c r="D181" s="185" t="s">
        <v>2</v>
      </c>
      <c r="E181" s="551"/>
    </row>
    <row r="182" spans="1:5" s="2" customFormat="1" ht="15.75" outlineLevel="1">
      <c r="A182" s="215" t="s">
        <v>535</v>
      </c>
      <c r="B182" s="197" t="s">
        <v>1392</v>
      </c>
      <c r="C182" s="147"/>
      <c r="D182" s="185" t="s">
        <v>2</v>
      </c>
      <c r="E182" s="551"/>
    </row>
    <row r="183" spans="1:5" s="2" customFormat="1" ht="15.75" outlineLevel="1">
      <c r="A183" s="215" t="s">
        <v>534</v>
      </c>
      <c r="B183" s="197" t="s">
        <v>1393</v>
      </c>
      <c r="C183" s="147"/>
      <c r="D183" s="185" t="s">
        <v>2</v>
      </c>
      <c r="E183" s="551"/>
    </row>
    <row r="184" spans="1:5" s="2" customFormat="1" ht="15.75" outlineLevel="1">
      <c r="A184" s="215" t="s">
        <v>536</v>
      </c>
      <c r="B184" s="197" t="s">
        <v>1394</v>
      </c>
      <c r="C184" s="147"/>
      <c r="D184" s="185" t="s">
        <v>2</v>
      </c>
      <c r="E184" s="551"/>
    </row>
    <row r="185" spans="1:5" s="2" customFormat="1" ht="15.75" outlineLevel="1">
      <c r="A185" s="215" t="s">
        <v>538</v>
      </c>
      <c r="B185" s="197" t="s">
        <v>968</v>
      </c>
      <c r="C185" s="147"/>
      <c r="D185" s="185" t="s">
        <v>2</v>
      </c>
      <c r="E185" s="551"/>
    </row>
    <row r="186" spans="1:5" s="2" customFormat="1" ht="15.75" outlineLevel="1">
      <c r="A186" s="215" t="s">
        <v>537</v>
      </c>
      <c r="B186" s="197" t="s">
        <v>1395</v>
      </c>
      <c r="C186" s="147"/>
      <c r="D186" s="185" t="s">
        <v>2</v>
      </c>
      <c r="E186" s="551"/>
    </row>
    <row r="187" spans="1:5" s="2" customFormat="1" ht="15.75" outlineLevel="1">
      <c r="A187" s="215" t="s">
        <v>539</v>
      </c>
      <c r="B187" s="197" t="s">
        <v>969</v>
      </c>
      <c r="C187" s="147"/>
      <c r="D187" s="185" t="s">
        <v>2</v>
      </c>
      <c r="E187" s="551"/>
    </row>
    <row r="188" spans="1:5" s="2" customFormat="1" ht="15.75" outlineLevel="1">
      <c r="A188" s="215" t="s">
        <v>997</v>
      </c>
      <c r="B188" s="197" t="s">
        <v>1396</v>
      </c>
      <c r="C188" s="147"/>
      <c r="D188" s="185" t="s">
        <v>2</v>
      </c>
      <c r="E188" s="551"/>
    </row>
    <row r="189" spans="1:5" s="2" customFormat="1" ht="15.75" outlineLevel="1">
      <c r="A189" s="215" t="s">
        <v>998</v>
      </c>
      <c r="B189" s="197" t="s">
        <v>1397</v>
      </c>
      <c r="C189" s="147"/>
      <c r="D189" s="185" t="s">
        <v>2</v>
      </c>
      <c r="E189" s="551"/>
    </row>
    <row r="190" spans="1:5" s="2" customFormat="1" ht="15.75" outlineLevel="1">
      <c r="A190" s="215" t="s">
        <v>999</v>
      </c>
      <c r="B190" s="197" t="s">
        <v>1398</v>
      </c>
      <c r="C190" s="147"/>
      <c r="D190" s="185" t="s">
        <v>2</v>
      </c>
      <c r="E190" s="551"/>
    </row>
    <row r="191" spans="1:5" s="2" customFormat="1" ht="15.75" outlineLevel="1">
      <c r="A191" s="215" t="s">
        <v>1000</v>
      </c>
      <c r="B191" s="197" t="s">
        <v>1399</v>
      </c>
      <c r="C191" s="147"/>
      <c r="D191" s="185" t="s">
        <v>2</v>
      </c>
      <c r="E191" s="551"/>
    </row>
    <row r="192" spans="1:5" s="2" customFormat="1" ht="15.75" outlineLevel="1">
      <c r="A192" s="215" t="s">
        <v>1001</v>
      </c>
      <c r="B192" s="197" t="s">
        <v>1400</v>
      </c>
      <c r="C192" s="147"/>
      <c r="D192" s="185" t="s">
        <v>2</v>
      </c>
      <c r="E192" s="551"/>
    </row>
    <row r="193" spans="1:5" s="2" customFormat="1" ht="15.75" outlineLevel="1">
      <c r="A193" s="215" t="s">
        <v>1002</v>
      </c>
      <c r="B193" s="197" t="s">
        <v>1401</v>
      </c>
      <c r="C193" s="147"/>
      <c r="D193" s="185" t="s">
        <v>2</v>
      </c>
      <c r="E193" s="551"/>
    </row>
    <row r="194" spans="1:5" s="2" customFormat="1" ht="15.75" outlineLevel="1">
      <c r="A194" s="215" t="s">
        <v>1003</v>
      </c>
      <c r="B194" s="197" t="s">
        <v>970</v>
      </c>
      <c r="C194" s="147"/>
      <c r="D194" s="185" t="s">
        <v>2</v>
      </c>
      <c r="E194" s="551"/>
    </row>
    <row r="195" spans="1:5" s="2" customFormat="1" ht="15.75" outlineLevel="1">
      <c r="A195" s="215" t="s">
        <v>1004</v>
      </c>
      <c r="B195" s="197" t="s">
        <v>1402</v>
      </c>
      <c r="C195" s="147"/>
      <c r="D195" s="185" t="s">
        <v>2</v>
      </c>
      <c r="E195" s="551"/>
    </row>
    <row r="196" spans="1:5" s="2" customFormat="1" ht="15.75" outlineLevel="1">
      <c r="A196" s="215" t="s">
        <v>1005</v>
      </c>
      <c r="B196" s="197" t="s">
        <v>1403</v>
      </c>
      <c r="C196" s="147"/>
      <c r="D196" s="185" t="s">
        <v>2</v>
      </c>
      <c r="E196" s="551"/>
    </row>
    <row r="197" spans="1:5" s="2" customFormat="1" ht="15.75" outlineLevel="1">
      <c r="A197" s="215" t="s">
        <v>1006</v>
      </c>
      <c r="B197" s="197" t="s">
        <v>971</v>
      </c>
      <c r="C197" s="147"/>
      <c r="D197" s="185" t="s">
        <v>2</v>
      </c>
      <c r="E197" s="551"/>
    </row>
    <row r="198" spans="1:5" s="2" customFormat="1" ht="15.75" outlineLevel="1">
      <c r="A198" s="215" t="s">
        <v>1007</v>
      </c>
      <c r="B198" s="197" t="s">
        <v>1404</v>
      </c>
      <c r="C198" s="147"/>
      <c r="D198" s="185" t="s">
        <v>2</v>
      </c>
      <c r="E198" s="551"/>
    </row>
    <row r="199" spans="1:5" s="2" customFormat="1" ht="15.75" outlineLevel="1">
      <c r="A199" s="215" t="s">
        <v>1008</v>
      </c>
      <c r="B199" s="197" t="s">
        <v>972</v>
      </c>
      <c r="C199" s="147"/>
      <c r="D199" s="185" t="s">
        <v>2</v>
      </c>
      <c r="E199" s="552"/>
    </row>
    <row r="200" spans="1:5" s="2" customFormat="1" ht="51" outlineLevel="1">
      <c r="A200" s="216" t="s">
        <v>38</v>
      </c>
      <c r="B200" s="191" t="s">
        <v>540</v>
      </c>
      <c r="C200" s="191" t="s">
        <v>730</v>
      </c>
      <c r="D200" s="192"/>
      <c r="E200" s="475" t="s">
        <v>1478</v>
      </c>
    </row>
    <row r="201" spans="1:5" s="2" customFormat="1" ht="15.75" outlineLevel="1">
      <c r="A201" s="215" t="s">
        <v>790</v>
      </c>
      <c r="B201" s="217" t="s">
        <v>517</v>
      </c>
      <c r="C201" s="56"/>
      <c r="D201" s="218" t="s">
        <v>518</v>
      </c>
      <c r="E201" s="553" t="s">
        <v>1489</v>
      </c>
    </row>
    <row r="202" spans="1:5" s="2" customFormat="1" ht="15.75" outlineLevel="1">
      <c r="A202" s="215" t="s">
        <v>791</v>
      </c>
      <c r="B202" s="217" t="s">
        <v>519</v>
      </c>
      <c r="C202" s="56"/>
      <c r="D202" s="218" t="s">
        <v>518</v>
      </c>
      <c r="E202" s="554"/>
    </row>
    <row r="203" spans="1:5" s="2" customFormat="1" ht="15.75" outlineLevel="1">
      <c r="A203" s="215" t="s">
        <v>792</v>
      </c>
      <c r="B203" s="217" t="s">
        <v>520</v>
      </c>
      <c r="C203" s="56"/>
      <c r="D203" s="218" t="s">
        <v>518</v>
      </c>
      <c r="E203" s="554"/>
    </row>
    <row r="204" spans="1:5" s="2" customFormat="1" ht="15.75" outlineLevel="1">
      <c r="A204" s="215" t="s">
        <v>793</v>
      </c>
      <c r="B204" s="217" t="s">
        <v>521</v>
      </c>
      <c r="C204" s="56"/>
      <c r="D204" s="218" t="s">
        <v>518</v>
      </c>
      <c r="E204" s="554"/>
    </row>
    <row r="205" spans="1:5" s="2" customFormat="1" ht="15.75" outlineLevel="1">
      <c r="A205" s="215" t="s">
        <v>794</v>
      </c>
      <c r="B205" s="217" t="s">
        <v>522</v>
      </c>
      <c r="C205" s="56"/>
      <c r="D205" s="218" t="s">
        <v>518</v>
      </c>
      <c r="E205" s="554"/>
    </row>
    <row r="206" spans="1:5" s="2" customFormat="1" ht="15.75" outlineLevel="1">
      <c r="A206" s="215" t="s">
        <v>795</v>
      </c>
      <c r="B206" s="217" t="s">
        <v>523</v>
      </c>
      <c r="C206" s="56"/>
      <c r="D206" s="218" t="s">
        <v>518</v>
      </c>
      <c r="E206" s="554"/>
    </row>
    <row r="207" spans="1:5" s="2" customFormat="1" ht="15.75" outlineLevel="1">
      <c r="A207" s="215" t="s">
        <v>796</v>
      </c>
      <c r="B207" s="217" t="s">
        <v>524</v>
      </c>
      <c r="C207" s="56"/>
      <c r="D207" s="218" t="s">
        <v>518</v>
      </c>
      <c r="E207" s="554"/>
    </row>
    <row r="208" spans="1:5" s="2" customFormat="1" ht="15.75" outlineLevel="1">
      <c r="A208" s="215" t="s">
        <v>797</v>
      </c>
      <c r="B208" s="217" t="s">
        <v>525</v>
      </c>
      <c r="C208" s="56"/>
      <c r="D208" s="218" t="s">
        <v>518</v>
      </c>
      <c r="E208" s="554"/>
    </row>
    <row r="209" spans="1:5" s="2" customFormat="1" ht="15.75" outlineLevel="1">
      <c r="A209" s="215" t="s">
        <v>798</v>
      </c>
      <c r="B209" s="217" t="s">
        <v>526</v>
      </c>
      <c r="C209" s="56"/>
      <c r="D209" s="218" t="s">
        <v>518</v>
      </c>
      <c r="E209" s="554"/>
    </row>
    <row r="210" spans="1:5" s="2" customFormat="1" ht="15.75" outlineLevel="1">
      <c r="A210" s="215" t="s">
        <v>799</v>
      </c>
      <c r="B210" s="217" t="s">
        <v>527</v>
      </c>
      <c r="C210" s="56"/>
      <c r="D210" s="218" t="s">
        <v>518</v>
      </c>
      <c r="E210" s="555"/>
    </row>
    <row r="211" spans="1:5" s="2" customFormat="1" ht="25.5" outlineLevel="1">
      <c r="A211" s="62" t="s">
        <v>39</v>
      </c>
      <c r="B211" s="147" t="s">
        <v>105</v>
      </c>
      <c r="C211" s="147" t="s">
        <v>106</v>
      </c>
      <c r="D211" s="185" t="s">
        <v>65</v>
      </c>
      <c r="E211" s="476" t="s">
        <v>1490</v>
      </c>
    </row>
    <row r="212" spans="1:5" s="2" customFormat="1" ht="102" outlineLevel="1">
      <c r="A212" s="62" t="s">
        <v>800</v>
      </c>
      <c r="B212" s="147" t="s">
        <v>107</v>
      </c>
      <c r="C212" s="147" t="s">
        <v>96</v>
      </c>
      <c r="D212" s="185" t="s">
        <v>65</v>
      </c>
      <c r="E212" s="209" t="s">
        <v>1491</v>
      </c>
    </row>
    <row r="213" spans="1:5" s="2" customFormat="1" ht="76.5" outlineLevel="1">
      <c r="A213" s="62" t="s">
        <v>40</v>
      </c>
      <c r="B213" s="147" t="s">
        <v>818</v>
      </c>
      <c r="C213" s="147" t="s">
        <v>1492</v>
      </c>
      <c r="D213" s="185" t="s">
        <v>518</v>
      </c>
      <c r="E213" s="209" t="s">
        <v>1493</v>
      </c>
    </row>
    <row r="214" spans="1:5" s="2" customFormat="1" ht="15.75" outlineLevel="1">
      <c r="A214" s="214" t="s">
        <v>801</v>
      </c>
      <c r="B214" s="191" t="s">
        <v>542</v>
      </c>
      <c r="C214" s="191"/>
      <c r="D214" s="192"/>
      <c r="E214" s="475"/>
    </row>
    <row r="215" spans="1:5" s="2" customFormat="1" ht="165.75" outlineLevel="1">
      <c r="A215" s="62" t="s">
        <v>802</v>
      </c>
      <c r="B215" s="219" t="s">
        <v>1053</v>
      </c>
      <c r="C215" s="220" t="s">
        <v>658</v>
      </c>
      <c r="D215" s="221" t="s">
        <v>71</v>
      </c>
      <c r="E215" s="211" t="s">
        <v>1494</v>
      </c>
    </row>
    <row r="216" spans="1:5" s="2" customFormat="1" ht="191.25" outlineLevel="1">
      <c r="A216" s="62" t="s">
        <v>803</v>
      </c>
      <c r="B216" s="219" t="s">
        <v>1054</v>
      </c>
      <c r="C216" s="220" t="s">
        <v>658</v>
      </c>
      <c r="D216" s="221" t="s">
        <v>71</v>
      </c>
      <c r="E216" s="211" t="s">
        <v>1495</v>
      </c>
    </row>
    <row r="217" spans="1:5" s="2" customFormat="1" ht="115.9" customHeight="1" outlineLevel="1">
      <c r="A217" s="62" t="s">
        <v>804</v>
      </c>
      <c r="B217" s="220" t="s">
        <v>1055</v>
      </c>
      <c r="C217" s="220" t="s">
        <v>657</v>
      </c>
      <c r="D217" s="221"/>
      <c r="E217" s="545" t="s">
        <v>1496</v>
      </c>
    </row>
    <row r="218" spans="1:5" s="2" customFormat="1" ht="49.9" customHeight="1" outlineLevel="1">
      <c r="A218" s="62" t="s">
        <v>805</v>
      </c>
      <c r="B218" s="213" t="s">
        <v>543</v>
      </c>
      <c r="C218" s="220"/>
      <c r="D218" s="221" t="s">
        <v>71</v>
      </c>
      <c r="E218" s="546"/>
    </row>
    <row r="219" spans="1:5" s="2" customFormat="1" ht="49.9" customHeight="1" outlineLevel="1">
      <c r="A219" s="62" t="s">
        <v>806</v>
      </c>
      <c r="B219" s="213" t="s">
        <v>544</v>
      </c>
      <c r="C219" s="220"/>
      <c r="D219" s="221" t="s">
        <v>71</v>
      </c>
      <c r="E219" s="546"/>
    </row>
    <row r="220" spans="1:5" s="2" customFormat="1" ht="49.9" customHeight="1" outlineLevel="1">
      <c r="A220" s="62" t="s">
        <v>807</v>
      </c>
      <c r="B220" s="213" t="s">
        <v>545</v>
      </c>
      <c r="C220" s="220"/>
      <c r="D220" s="221" t="s">
        <v>71</v>
      </c>
      <c r="E220" s="536"/>
    </row>
    <row r="221" spans="1:5" s="2" customFormat="1" ht="102" customHeight="1" outlineLevel="1">
      <c r="A221" s="62" t="s">
        <v>808</v>
      </c>
      <c r="B221" s="220" t="s">
        <v>1056</v>
      </c>
      <c r="C221" s="220" t="s">
        <v>657</v>
      </c>
      <c r="D221" s="221"/>
      <c r="E221" s="530" t="s">
        <v>1497</v>
      </c>
    </row>
    <row r="222" spans="1:5" s="2" customFormat="1" ht="49.9" customHeight="1" outlineLevel="1">
      <c r="A222" s="62" t="s">
        <v>809</v>
      </c>
      <c r="B222" s="213" t="s">
        <v>543</v>
      </c>
      <c r="C222" s="220"/>
      <c r="D222" s="221" t="s">
        <v>71</v>
      </c>
      <c r="E222" s="531"/>
    </row>
    <row r="223" spans="1:5" s="2" customFormat="1" ht="49.9" customHeight="1" outlineLevel="1">
      <c r="A223" s="62" t="s">
        <v>810</v>
      </c>
      <c r="B223" s="213" t="s">
        <v>544</v>
      </c>
      <c r="C223" s="220"/>
      <c r="D223" s="221" t="s">
        <v>71</v>
      </c>
      <c r="E223" s="531"/>
    </row>
    <row r="224" spans="1:5" s="2" customFormat="1" ht="49.9" customHeight="1" outlineLevel="1">
      <c r="A224" s="62" t="s">
        <v>811</v>
      </c>
      <c r="B224" s="213" t="s">
        <v>545</v>
      </c>
      <c r="C224" s="220"/>
      <c r="D224" s="221" t="s">
        <v>71</v>
      </c>
      <c r="E224" s="532"/>
    </row>
    <row r="225" spans="1:5" s="2" customFormat="1" ht="105.6" customHeight="1" outlineLevel="1">
      <c r="A225" s="62" t="s">
        <v>812</v>
      </c>
      <c r="B225" s="220" t="s">
        <v>1057</v>
      </c>
      <c r="C225" s="220" t="s">
        <v>657</v>
      </c>
      <c r="D225" s="221"/>
      <c r="E225" s="530" t="s">
        <v>1498</v>
      </c>
    </row>
    <row r="226" spans="1:5" s="2" customFormat="1" ht="55.15" customHeight="1" outlineLevel="1">
      <c r="A226" s="62" t="s">
        <v>813</v>
      </c>
      <c r="B226" s="213" t="s">
        <v>543</v>
      </c>
      <c r="C226" s="220"/>
      <c r="D226" s="221" t="s">
        <v>71</v>
      </c>
      <c r="E226" s="531"/>
    </row>
    <row r="227" spans="1:5" s="2" customFormat="1" ht="55.15" customHeight="1" outlineLevel="1">
      <c r="A227" s="62" t="s">
        <v>814</v>
      </c>
      <c r="B227" s="213" t="s">
        <v>544</v>
      </c>
      <c r="C227" s="220"/>
      <c r="D227" s="221" t="s">
        <v>71</v>
      </c>
      <c r="E227" s="531"/>
    </row>
    <row r="228" spans="1:5" s="2" customFormat="1" ht="55.15" customHeight="1" outlineLevel="1">
      <c r="A228" s="62" t="s">
        <v>815</v>
      </c>
      <c r="B228" s="213" t="s">
        <v>545</v>
      </c>
      <c r="C228" s="220"/>
      <c r="D228" s="221" t="s">
        <v>71</v>
      </c>
      <c r="E228" s="532"/>
    </row>
    <row r="229" spans="1:5" s="2" customFormat="1" ht="15.75" outlineLevel="1">
      <c r="A229" s="225"/>
      <c r="B229" s="226"/>
      <c r="C229" s="227"/>
      <c r="D229" s="228"/>
      <c r="E229" s="477"/>
    </row>
    <row r="230" spans="1:5" s="2" customFormat="1" ht="15.75" outlineLevel="1">
      <c r="A230" s="233" t="s">
        <v>1381</v>
      </c>
      <c r="B230" s="234"/>
      <c r="C230" s="235"/>
      <c r="D230" s="236"/>
      <c r="E230" s="478"/>
    </row>
    <row r="231" spans="1:5" s="2" customFormat="1" ht="15.75" outlineLevel="1">
      <c r="A231" s="241" t="s">
        <v>1388</v>
      </c>
      <c r="B231" s="234"/>
      <c r="C231" s="235"/>
      <c r="D231" s="236"/>
      <c r="E231" s="478"/>
    </row>
    <row r="232" spans="1:5" s="2" customFormat="1" ht="15.75" outlineLevel="1">
      <c r="A232" s="241" t="s">
        <v>1389</v>
      </c>
      <c r="B232" s="234"/>
      <c r="C232" s="235"/>
      <c r="D232" s="236"/>
      <c r="E232" s="478"/>
    </row>
    <row r="233" spans="1:5" s="2" customFormat="1" ht="15.75" outlineLevel="1">
      <c r="A233" s="241" t="s">
        <v>1390</v>
      </c>
      <c r="B233" s="234"/>
      <c r="C233" s="235"/>
      <c r="D233" s="236"/>
      <c r="E233" s="478"/>
    </row>
    <row r="234" spans="1:5" s="2" customFormat="1" ht="15.75" outlineLevel="1">
      <c r="A234" s="241" t="s">
        <v>1406</v>
      </c>
      <c r="B234" s="234"/>
      <c r="C234" s="235"/>
      <c r="D234" s="236"/>
      <c r="E234" s="478"/>
    </row>
    <row r="235" spans="1:5" s="2" customFormat="1" ht="15.75" outlineLevel="1">
      <c r="A235" s="242" t="s">
        <v>1407</v>
      </c>
      <c r="B235" s="234"/>
      <c r="C235" s="235"/>
      <c r="D235" s="236"/>
      <c r="E235" s="478"/>
    </row>
    <row r="236" spans="1:5" s="2" customFormat="1" ht="15.75" outlineLevel="1">
      <c r="A236" s="241" t="s">
        <v>1408</v>
      </c>
      <c r="B236" s="234"/>
      <c r="C236" s="235"/>
      <c r="D236" s="236"/>
      <c r="E236" s="478"/>
    </row>
    <row r="237" spans="1:5" s="2" customFormat="1" ht="15.75" outlineLevel="1">
      <c r="A237" s="243"/>
      <c r="B237" s="244"/>
      <c r="C237" s="245"/>
      <c r="D237" s="246"/>
      <c r="E237" s="479"/>
    </row>
    <row r="238" spans="1:5" s="2" customFormat="1" ht="40.15" customHeight="1">
      <c r="A238" s="103">
        <v>5</v>
      </c>
      <c r="B238" s="525" t="s">
        <v>767</v>
      </c>
      <c r="C238" s="524"/>
      <c r="D238" s="251"/>
      <c r="E238" s="480"/>
    </row>
    <row r="239" spans="1:5" s="2" customFormat="1" ht="40.15" customHeight="1" outlineLevel="1">
      <c r="A239" s="516" t="s">
        <v>1422</v>
      </c>
      <c r="B239" s="516"/>
      <c r="C239" s="517"/>
      <c r="D239" s="254"/>
      <c r="E239" s="481"/>
    </row>
    <row r="240" spans="1:5" s="2" customFormat="1" ht="147" customHeight="1" outlineLevel="1">
      <c r="A240" s="256" t="s">
        <v>899</v>
      </c>
      <c r="B240" s="219" t="s">
        <v>1059</v>
      </c>
      <c r="C240" s="219" t="s">
        <v>1058</v>
      </c>
      <c r="D240" s="221" t="s">
        <v>2</v>
      </c>
      <c r="E240" s="547" t="s">
        <v>1762</v>
      </c>
    </row>
    <row r="241" spans="1:5" s="2" customFormat="1" ht="137.44999999999999" customHeight="1" outlineLevel="1">
      <c r="A241" s="62" t="s">
        <v>74</v>
      </c>
      <c r="B241" s="219" t="s">
        <v>1060</v>
      </c>
      <c r="C241" s="219" t="s">
        <v>1058</v>
      </c>
      <c r="D241" s="221" t="s">
        <v>2</v>
      </c>
      <c r="E241" s="548"/>
    </row>
    <row r="242" spans="1:5" s="2" customFormat="1" ht="63.75" outlineLevel="1">
      <c r="A242" s="62" t="s">
        <v>75</v>
      </c>
      <c r="B242" s="220" t="s">
        <v>1061</v>
      </c>
      <c r="C242" s="220" t="s">
        <v>1358</v>
      </c>
      <c r="D242" s="221" t="s">
        <v>16</v>
      </c>
      <c r="E242" s="476" t="s">
        <v>1499</v>
      </c>
    </row>
    <row r="243" spans="1:5" s="2" customFormat="1" ht="102" outlineLevel="1">
      <c r="A243" s="62" t="s">
        <v>76</v>
      </c>
      <c r="B243" s="220" t="s">
        <v>129</v>
      </c>
      <c r="C243" s="220" t="s">
        <v>1062</v>
      </c>
      <c r="D243" s="221" t="s">
        <v>16</v>
      </c>
      <c r="E243" s="476" t="s">
        <v>1500</v>
      </c>
    </row>
    <row r="244" spans="1:5" s="2" customFormat="1" ht="165.75" outlineLevel="1">
      <c r="A244" s="62" t="s">
        <v>78</v>
      </c>
      <c r="B244" s="220" t="s">
        <v>850</v>
      </c>
      <c r="C244" s="220" t="s">
        <v>1063</v>
      </c>
      <c r="D244" s="221" t="s">
        <v>16</v>
      </c>
      <c r="E244" s="476" t="s">
        <v>1763</v>
      </c>
    </row>
    <row r="245" spans="1:5" s="2" customFormat="1" ht="79.150000000000006" customHeight="1" outlineLevel="1">
      <c r="A245" s="214" t="s">
        <v>79</v>
      </c>
      <c r="B245" s="257" t="s">
        <v>1064</v>
      </c>
      <c r="C245" s="257" t="s">
        <v>652</v>
      </c>
      <c r="D245" s="258" t="s">
        <v>163</v>
      </c>
      <c r="E245" s="533" t="s">
        <v>1501</v>
      </c>
    </row>
    <row r="246" spans="1:5" s="2" customFormat="1" ht="25.5" outlineLevel="1">
      <c r="A246" s="62" t="s">
        <v>305</v>
      </c>
      <c r="B246" s="259" t="s">
        <v>118</v>
      </c>
      <c r="C246" s="220"/>
      <c r="D246" s="221" t="s">
        <v>163</v>
      </c>
      <c r="E246" s="534"/>
    </row>
    <row r="247" spans="1:5" s="2" customFormat="1" ht="25.5" outlineLevel="1">
      <c r="A247" s="62" t="s">
        <v>306</v>
      </c>
      <c r="B247" s="259" t="s">
        <v>117</v>
      </c>
      <c r="C247" s="220"/>
      <c r="D247" s="221" t="s">
        <v>163</v>
      </c>
      <c r="E247" s="535"/>
    </row>
    <row r="248" spans="1:5" s="2" customFormat="1" ht="52.9" customHeight="1" outlineLevel="1">
      <c r="A248" s="214" t="s">
        <v>80</v>
      </c>
      <c r="B248" s="257" t="s">
        <v>1066</v>
      </c>
      <c r="C248" s="257" t="s">
        <v>647</v>
      </c>
      <c r="D248" s="258" t="s">
        <v>163</v>
      </c>
      <c r="E248" s="533" t="s">
        <v>1502</v>
      </c>
    </row>
    <row r="249" spans="1:5" s="2" customFormat="1" ht="25.5" outlineLevel="1">
      <c r="A249" s="62" t="s">
        <v>587</v>
      </c>
      <c r="B249" s="208" t="s">
        <v>118</v>
      </c>
      <c r="C249" s="147"/>
      <c r="D249" s="185" t="s">
        <v>163</v>
      </c>
      <c r="E249" s="534"/>
    </row>
    <row r="250" spans="1:5" s="2" customFormat="1" ht="25.5" outlineLevel="1">
      <c r="A250" s="62" t="s">
        <v>588</v>
      </c>
      <c r="B250" s="208" t="s">
        <v>117</v>
      </c>
      <c r="C250" s="147"/>
      <c r="D250" s="185" t="s">
        <v>163</v>
      </c>
      <c r="E250" s="535"/>
    </row>
    <row r="251" spans="1:5" s="2" customFormat="1" ht="117" customHeight="1" outlineLevel="1">
      <c r="A251" s="214" t="s">
        <v>81</v>
      </c>
      <c r="B251" s="257" t="s">
        <v>1065</v>
      </c>
      <c r="C251" s="257" t="s">
        <v>687</v>
      </c>
      <c r="D251" s="258" t="s">
        <v>163</v>
      </c>
      <c r="E251" s="533" t="s">
        <v>1503</v>
      </c>
    </row>
    <row r="252" spans="1:5" s="2" customFormat="1" ht="25.5" outlineLevel="1">
      <c r="A252" s="62" t="s">
        <v>700</v>
      </c>
      <c r="B252" s="260" t="s">
        <v>1067</v>
      </c>
      <c r="C252" s="219"/>
      <c r="D252" s="185" t="s">
        <v>163</v>
      </c>
      <c r="E252" s="534"/>
    </row>
    <row r="253" spans="1:5" s="2" customFormat="1" ht="25.5" outlineLevel="1">
      <c r="A253" s="62" t="s">
        <v>701</v>
      </c>
      <c r="B253" s="260" t="s">
        <v>1068</v>
      </c>
      <c r="C253" s="219"/>
      <c r="D253" s="185" t="s">
        <v>163</v>
      </c>
      <c r="E253" s="535"/>
    </row>
    <row r="254" spans="1:5" s="2" customFormat="1" ht="39.6" customHeight="1" outlineLevel="1">
      <c r="A254" s="62" t="s">
        <v>900</v>
      </c>
      <c r="B254" s="219" t="s">
        <v>1069</v>
      </c>
      <c r="C254" s="147" t="s">
        <v>901</v>
      </c>
      <c r="D254" s="185" t="s">
        <v>42</v>
      </c>
      <c r="E254" s="540" t="s">
        <v>1504</v>
      </c>
    </row>
    <row r="255" spans="1:5" s="2" customFormat="1" ht="51" outlineLevel="1">
      <c r="A255" s="62" t="s">
        <v>82</v>
      </c>
      <c r="B255" s="147" t="s">
        <v>1070</v>
      </c>
      <c r="C255" s="147" t="s">
        <v>126</v>
      </c>
      <c r="D255" s="185" t="s">
        <v>42</v>
      </c>
      <c r="E255" s="541"/>
    </row>
    <row r="256" spans="1:5" s="2" customFormat="1" ht="51" outlineLevel="1">
      <c r="A256" s="62" t="s">
        <v>83</v>
      </c>
      <c r="B256" s="147" t="s">
        <v>1071</v>
      </c>
      <c r="C256" s="147" t="s">
        <v>127</v>
      </c>
      <c r="D256" s="185" t="s">
        <v>42</v>
      </c>
      <c r="E256" s="541"/>
    </row>
    <row r="257" spans="1:5" s="2" customFormat="1" ht="51" outlineLevel="1">
      <c r="A257" s="62" t="s">
        <v>84</v>
      </c>
      <c r="B257" s="147" t="s">
        <v>1072</v>
      </c>
      <c r="C257" s="147" t="s">
        <v>102</v>
      </c>
      <c r="D257" s="185" t="s">
        <v>42</v>
      </c>
      <c r="E257" s="541"/>
    </row>
    <row r="258" spans="1:5" s="2" customFormat="1" ht="51" outlineLevel="1">
      <c r="A258" s="62" t="s">
        <v>85</v>
      </c>
      <c r="B258" s="147" t="s">
        <v>1073</v>
      </c>
      <c r="C258" s="147" t="s">
        <v>103</v>
      </c>
      <c r="D258" s="185" t="s">
        <v>42</v>
      </c>
      <c r="E258" s="541"/>
    </row>
    <row r="259" spans="1:5" s="2" customFormat="1" ht="51" outlineLevel="1">
      <c r="A259" s="62" t="s">
        <v>86</v>
      </c>
      <c r="B259" s="147" t="s">
        <v>1074</v>
      </c>
      <c r="C259" s="147" t="s">
        <v>104</v>
      </c>
      <c r="D259" s="185" t="s">
        <v>42</v>
      </c>
      <c r="E259" s="541"/>
    </row>
    <row r="260" spans="1:5" s="2" customFormat="1" ht="38.25" outlineLevel="1">
      <c r="A260" s="62" t="s">
        <v>87</v>
      </c>
      <c r="B260" s="220" t="s">
        <v>1075</v>
      </c>
      <c r="C260" s="220" t="s">
        <v>554</v>
      </c>
      <c r="D260" s="221" t="s">
        <v>42</v>
      </c>
      <c r="E260" s="541"/>
    </row>
    <row r="261" spans="1:5" s="2" customFormat="1" ht="89.25" outlineLevel="1">
      <c r="A261" s="62" t="s">
        <v>88</v>
      </c>
      <c r="B261" s="147" t="s">
        <v>52</v>
      </c>
      <c r="C261" s="147" t="s">
        <v>123</v>
      </c>
      <c r="D261" s="185" t="s">
        <v>42</v>
      </c>
      <c r="E261" s="482" t="s">
        <v>1505</v>
      </c>
    </row>
    <row r="262" spans="1:5" s="2" customFormat="1" ht="102" outlineLevel="1">
      <c r="A262" s="62" t="s">
        <v>89</v>
      </c>
      <c r="B262" s="56" t="s">
        <v>128</v>
      </c>
      <c r="C262" s="56" t="s">
        <v>642</v>
      </c>
      <c r="D262" s="218" t="s">
        <v>93</v>
      </c>
      <c r="E262" s="483" t="s">
        <v>1506</v>
      </c>
    </row>
    <row r="263" spans="1:5" s="2" customFormat="1" ht="102" outlineLevel="1">
      <c r="A263" s="62" t="s">
        <v>144</v>
      </c>
      <c r="B263" s="56" t="s">
        <v>620</v>
      </c>
      <c r="C263" s="56" t="s">
        <v>643</v>
      </c>
      <c r="D263" s="218" t="s">
        <v>93</v>
      </c>
      <c r="E263" s="483" t="s">
        <v>1507</v>
      </c>
    </row>
    <row r="264" spans="1:5" s="2" customFormat="1" ht="127.5" outlineLevel="1">
      <c r="A264" s="62" t="s">
        <v>145</v>
      </c>
      <c r="B264" s="56" t="s">
        <v>621</v>
      </c>
      <c r="C264" s="56" t="s">
        <v>870</v>
      </c>
      <c r="D264" s="218" t="s">
        <v>93</v>
      </c>
      <c r="E264" s="483" t="s">
        <v>1508</v>
      </c>
    </row>
    <row r="265" spans="1:5" s="2" customFormat="1" ht="178.5" outlineLevel="1">
      <c r="A265" s="62" t="s">
        <v>146</v>
      </c>
      <c r="B265" s="56" t="s">
        <v>644</v>
      </c>
      <c r="C265" s="56" t="s">
        <v>645</v>
      </c>
      <c r="D265" s="218" t="s">
        <v>93</v>
      </c>
      <c r="E265" s="483" t="s">
        <v>1509</v>
      </c>
    </row>
    <row r="266" spans="1:5" s="2" customFormat="1" ht="114.75" outlineLevel="1">
      <c r="A266" s="62" t="s">
        <v>149</v>
      </c>
      <c r="B266" s="56" t="s">
        <v>555</v>
      </c>
      <c r="C266" s="56" t="s">
        <v>765</v>
      </c>
      <c r="D266" s="218" t="s">
        <v>42</v>
      </c>
      <c r="E266" s="483" t="s">
        <v>1510</v>
      </c>
    </row>
    <row r="267" spans="1:5" s="2" customFormat="1" ht="168.6" customHeight="1" outlineLevel="1">
      <c r="A267" s="214" t="s">
        <v>151</v>
      </c>
      <c r="B267" s="191" t="s">
        <v>1457</v>
      </c>
      <c r="C267" s="257" t="s">
        <v>874</v>
      </c>
      <c r="D267" s="192" t="s">
        <v>54</v>
      </c>
      <c r="E267" s="542" t="s">
        <v>1511</v>
      </c>
    </row>
    <row r="268" spans="1:5" s="2" customFormat="1" ht="15.75" outlineLevel="1">
      <c r="A268" s="261" t="s">
        <v>673</v>
      </c>
      <c r="B268" s="262" t="s">
        <v>731</v>
      </c>
      <c r="C268" s="263"/>
      <c r="D268" s="185" t="s">
        <v>54</v>
      </c>
      <c r="E268" s="543"/>
    </row>
    <row r="269" spans="1:5" s="2" customFormat="1" ht="15.75" outlineLevel="1">
      <c r="A269" s="261" t="s">
        <v>674</v>
      </c>
      <c r="B269" s="264" t="s">
        <v>873</v>
      </c>
      <c r="C269" s="147"/>
      <c r="D269" s="185" t="s">
        <v>54</v>
      </c>
      <c r="E269" s="543"/>
    </row>
    <row r="270" spans="1:5" s="2" customFormat="1" ht="15.75" outlineLevel="1">
      <c r="A270" s="261" t="s">
        <v>675</v>
      </c>
      <c r="B270" s="265" t="s">
        <v>842</v>
      </c>
      <c r="C270" s="147"/>
      <c r="D270" s="185" t="s">
        <v>54</v>
      </c>
      <c r="E270" s="543"/>
    </row>
    <row r="271" spans="1:5" s="2" customFormat="1" ht="15.75" outlineLevel="1">
      <c r="A271" s="261" t="s">
        <v>844</v>
      </c>
      <c r="B271" s="264" t="s">
        <v>843</v>
      </c>
      <c r="C271" s="147"/>
      <c r="D271" s="185" t="s">
        <v>54</v>
      </c>
      <c r="E271" s="544"/>
    </row>
    <row r="272" spans="1:5" s="2" customFormat="1" ht="102" outlineLevel="1">
      <c r="A272" s="261" t="s">
        <v>153</v>
      </c>
      <c r="B272" s="147" t="s">
        <v>622</v>
      </c>
      <c r="C272" s="147" t="s">
        <v>773</v>
      </c>
      <c r="D272" s="185" t="s">
        <v>54</v>
      </c>
      <c r="E272" s="147" t="s">
        <v>1512</v>
      </c>
    </row>
    <row r="273" spans="1:5" s="2" customFormat="1" ht="63.75" outlineLevel="1">
      <c r="A273" s="261" t="s">
        <v>161</v>
      </c>
      <c r="B273" s="147" t="s">
        <v>47</v>
      </c>
      <c r="C273" s="147" t="s">
        <v>19</v>
      </c>
      <c r="D273" s="185" t="s">
        <v>2</v>
      </c>
      <c r="E273" s="147" t="s">
        <v>1513</v>
      </c>
    </row>
    <row r="274" spans="1:5" s="2" customFormat="1" ht="267.75" outlineLevel="1">
      <c r="A274" s="261" t="s">
        <v>556</v>
      </c>
      <c r="B274" s="147" t="s">
        <v>1337</v>
      </c>
      <c r="C274" s="147" t="s">
        <v>1078</v>
      </c>
      <c r="D274" s="185" t="s">
        <v>59</v>
      </c>
      <c r="E274" s="476" t="s">
        <v>1515</v>
      </c>
    </row>
    <row r="275" spans="1:5" s="2" customFormat="1" ht="267.75" outlineLevel="1">
      <c r="A275" s="261" t="s">
        <v>557</v>
      </c>
      <c r="B275" s="147" t="s">
        <v>1036</v>
      </c>
      <c r="C275" s="147" t="s">
        <v>1514</v>
      </c>
      <c r="D275" s="185" t="s">
        <v>59</v>
      </c>
      <c r="E275" s="476" t="s">
        <v>1516</v>
      </c>
    </row>
    <row r="276" spans="1:5" s="2" customFormat="1" ht="76.5" outlineLevel="1">
      <c r="A276" s="261" t="s">
        <v>558</v>
      </c>
      <c r="B276" s="147" t="s">
        <v>862</v>
      </c>
      <c r="C276" s="147" t="s">
        <v>1018</v>
      </c>
      <c r="D276" s="185" t="s">
        <v>42</v>
      </c>
      <c r="E276" s="476" t="s">
        <v>1517</v>
      </c>
    </row>
    <row r="277" spans="1:5" s="2" customFormat="1" ht="63.75" outlineLevel="1">
      <c r="A277" s="261" t="s">
        <v>618</v>
      </c>
      <c r="B277" s="147" t="s">
        <v>938</v>
      </c>
      <c r="C277" s="147" t="s">
        <v>939</v>
      </c>
      <c r="D277" s="185" t="s">
        <v>42</v>
      </c>
      <c r="E277" s="205" t="s">
        <v>1518</v>
      </c>
    </row>
    <row r="278" spans="1:5" s="2" customFormat="1" ht="68.45" customHeight="1" outlineLevel="1">
      <c r="A278" s="261" t="s">
        <v>628</v>
      </c>
      <c r="B278" s="147" t="s">
        <v>53</v>
      </c>
      <c r="C278" s="147" t="s">
        <v>132</v>
      </c>
      <c r="D278" s="185"/>
      <c r="E278" s="530" t="s">
        <v>1519</v>
      </c>
    </row>
    <row r="279" spans="1:5" s="2" customFormat="1" ht="15.75" outlineLevel="1">
      <c r="A279" s="261" t="s">
        <v>868</v>
      </c>
      <c r="B279" s="264" t="s">
        <v>867</v>
      </c>
      <c r="C279" s="147"/>
      <c r="D279" s="185" t="s">
        <v>3</v>
      </c>
      <c r="E279" s="531"/>
    </row>
    <row r="280" spans="1:5" s="2" customFormat="1" ht="15.75" outlineLevel="1">
      <c r="A280" s="261" t="s">
        <v>869</v>
      </c>
      <c r="B280" s="264" t="s">
        <v>101</v>
      </c>
      <c r="C280" s="147"/>
      <c r="D280" s="185" t="s">
        <v>3</v>
      </c>
      <c r="E280" s="532"/>
    </row>
    <row r="281" spans="1:5" s="2" customFormat="1" ht="76.5" outlineLevel="1">
      <c r="A281" s="261" t="s">
        <v>629</v>
      </c>
      <c r="B281" s="189" t="s">
        <v>307</v>
      </c>
      <c r="C281" s="189" t="s">
        <v>1079</v>
      </c>
      <c r="D281" s="266" t="s">
        <v>5</v>
      </c>
      <c r="E281" s="147" t="s">
        <v>1520</v>
      </c>
    </row>
    <row r="282" spans="1:5" s="2" customFormat="1" ht="178.5" outlineLevel="1">
      <c r="A282" s="261" t="s">
        <v>630</v>
      </c>
      <c r="B282" s="267" t="s">
        <v>1080</v>
      </c>
      <c r="C282" s="220" t="s">
        <v>1081</v>
      </c>
      <c r="D282" s="266" t="s">
        <v>5</v>
      </c>
      <c r="E282" s="484" t="s">
        <v>1521</v>
      </c>
    </row>
    <row r="283" spans="1:5" s="2" customFormat="1" ht="140.25" outlineLevel="1">
      <c r="A283" s="261" t="s">
        <v>641</v>
      </c>
      <c r="B283" s="267" t="s">
        <v>1082</v>
      </c>
      <c r="C283" s="220" t="s">
        <v>1083</v>
      </c>
      <c r="D283" s="266" t="s">
        <v>5</v>
      </c>
      <c r="E283" s="484" t="s">
        <v>1522</v>
      </c>
    </row>
    <row r="284" spans="1:5" s="2" customFormat="1" ht="191.25" outlineLevel="1">
      <c r="A284" s="261" t="s">
        <v>655</v>
      </c>
      <c r="B284" s="267" t="s">
        <v>1084</v>
      </c>
      <c r="C284" s="220" t="s">
        <v>1085</v>
      </c>
      <c r="D284" s="266" t="s">
        <v>5</v>
      </c>
      <c r="E284" s="205" t="s">
        <v>1523</v>
      </c>
    </row>
    <row r="285" spans="1:5" s="2" customFormat="1" ht="165.75" outlineLevel="1">
      <c r="A285" s="261" t="s">
        <v>676</v>
      </c>
      <c r="B285" s="268" t="s">
        <v>1086</v>
      </c>
      <c r="C285" s="220" t="s">
        <v>1087</v>
      </c>
      <c r="D285" s="221" t="s">
        <v>4</v>
      </c>
      <c r="E285" s="205" t="s">
        <v>1524</v>
      </c>
    </row>
    <row r="286" spans="1:5" s="2" customFormat="1" ht="63.75" outlineLevel="1">
      <c r="A286" s="261" t="s">
        <v>863</v>
      </c>
      <c r="B286" s="147" t="s">
        <v>62</v>
      </c>
      <c r="C286" s="147" t="s">
        <v>63</v>
      </c>
      <c r="D286" s="185" t="s">
        <v>59</v>
      </c>
      <c r="E286" s="205" t="s">
        <v>1525</v>
      </c>
    </row>
    <row r="287" spans="1:5" s="2" customFormat="1" ht="15.75" outlineLevel="1">
      <c r="A287" s="269"/>
      <c r="B287" s="150"/>
      <c r="C287" s="150"/>
      <c r="D287" s="270"/>
      <c r="E287" s="271"/>
    </row>
    <row r="288" spans="1:5" s="2" customFormat="1" ht="15.75" outlineLevel="1">
      <c r="A288" s="272" t="s">
        <v>1381</v>
      </c>
      <c r="B288" s="158"/>
      <c r="C288" s="158"/>
      <c r="D288" s="273"/>
      <c r="E288" s="274"/>
    </row>
    <row r="289" spans="1:5" s="2" customFormat="1" ht="15.75" outlineLevel="1">
      <c r="A289" s="275" t="s">
        <v>1388</v>
      </c>
      <c r="B289" s="158"/>
      <c r="C289" s="158"/>
      <c r="D289" s="273"/>
      <c r="E289" s="274"/>
    </row>
    <row r="290" spans="1:5" s="2" customFormat="1" ht="15.75" outlineLevel="1">
      <c r="A290" s="275" t="s">
        <v>1410</v>
      </c>
      <c r="B290" s="158"/>
      <c r="C290" s="158"/>
      <c r="D290" s="273"/>
      <c r="E290" s="274"/>
    </row>
    <row r="291" spans="1:5" s="2" customFormat="1" ht="15.75" outlineLevel="1">
      <c r="A291" s="275" t="s">
        <v>1390</v>
      </c>
      <c r="B291" s="158"/>
      <c r="C291" s="158"/>
      <c r="D291" s="273"/>
      <c r="E291" s="274"/>
    </row>
    <row r="292" spans="1:5" s="2" customFormat="1" ht="15.75" outlineLevel="1">
      <c r="A292" s="275" t="s">
        <v>1405</v>
      </c>
      <c r="B292" s="158"/>
      <c r="C292" s="158"/>
      <c r="D292" s="273"/>
      <c r="E292" s="274"/>
    </row>
    <row r="293" spans="1:5" s="2" customFormat="1" ht="15.75" outlineLevel="1">
      <c r="A293" s="275" t="s">
        <v>1409</v>
      </c>
      <c r="B293" s="158"/>
      <c r="C293" s="158"/>
      <c r="D293" s="273"/>
      <c r="E293" s="274"/>
    </row>
    <row r="294" spans="1:5" s="2" customFormat="1" ht="15.75" outlineLevel="1">
      <c r="A294" s="276"/>
      <c r="B294" s="167"/>
      <c r="C294" s="167"/>
      <c r="D294" s="277"/>
      <c r="E294" s="278"/>
    </row>
    <row r="295" spans="1:5" s="2" customFormat="1" ht="40.15" customHeight="1">
      <c r="A295" s="103">
        <v>6</v>
      </c>
      <c r="B295" s="525" t="s">
        <v>1088</v>
      </c>
      <c r="C295" s="524"/>
      <c r="D295" s="279"/>
      <c r="E295" s="469"/>
    </row>
    <row r="296" spans="1:5" s="2" customFormat="1" ht="40.15" customHeight="1" outlineLevel="1">
      <c r="A296" s="516" t="s">
        <v>1423</v>
      </c>
      <c r="B296" s="516"/>
      <c r="C296" s="517"/>
      <c r="D296" s="279"/>
      <c r="E296" s="485"/>
    </row>
    <row r="297" spans="1:5" s="2" customFormat="1" ht="72" customHeight="1" outlineLevel="1">
      <c r="A297" s="78" t="s">
        <v>308</v>
      </c>
      <c r="B297" s="280" t="s">
        <v>1458</v>
      </c>
      <c r="C297" s="281" t="s">
        <v>689</v>
      </c>
      <c r="D297" s="139" t="s">
        <v>59</v>
      </c>
      <c r="E297" s="530" t="s">
        <v>1526</v>
      </c>
    </row>
    <row r="298" spans="1:5" s="2" customFormat="1" ht="66" customHeight="1" outlineLevel="1">
      <c r="A298" s="78" t="s">
        <v>309</v>
      </c>
      <c r="B298" s="280" t="s">
        <v>1089</v>
      </c>
      <c r="C298" s="281" t="s">
        <v>689</v>
      </c>
      <c r="D298" s="139" t="s">
        <v>59</v>
      </c>
      <c r="E298" s="531"/>
    </row>
    <row r="299" spans="1:5" s="2" customFormat="1" ht="69.599999999999994" customHeight="1" outlineLevel="1">
      <c r="A299" s="78" t="s">
        <v>310</v>
      </c>
      <c r="B299" s="147" t="s">
        <v>1090</v>
      </c>
      <c r="C299" s="281" t="s">
        <v>689</v>
      </c>
      <c r="D299" s="185" t="s">
        <v>59</v>
      </c>
      <c r="E299" s="532"/>
    </row>
    <row r="300" spans="1:5" s="2" customFormat="1" ht="127.5" outlineLevel="1">
      <c r="A300" s="78" t="s">
        <v>311</v>
      </c>
      <c r="B300" s="280" t="s">
        <v>759</v>
      </c>
      <c r="C300" s="219" t="s">
        <v>727</v>
      </c>
      <c r="D300" s="139" t="s">
        <v>59</v>
      </c>
      <c r="E300" s="486" t="s">
        <v>1527</v>
      </c>
    </row>
    <row r="301" spans="1:5" s="2" customFormat="1" ht="114.75" outlineLevel="1">
      <c r="A301" s="78" t="s">
        <v>312</v>
      </c>
      <c r="B301" s="79" t="s">
        <v>1091</v>
      </c>
      <c r="C301" s="286" t="s">
        <v>728</v>
      </c>
      <c r="D301" s="139" t="s">
        <v>59</v>
      </c>
      <c r="E301" s="144" t="s">
        <v>1528</v>
      </c>
    </row>
    <row r="302" spans="1:5" s="2" customFormat="1" ht="76.5" outlineLevel="1">
      <c r="A302" s="78" t="s">
        <v>313</v>
      </c>
      <c r="B302" s="280" t="s">
        <v>1092</v>
      </c>
      <c r="C302" s="56" t="s">
        <v>1037</v>
      </c>
      <c r="D302" s="139" t="s">
        <v>58</v>
      </c>
      <c r="E302" s="486" t="s">
        <v>1529</v>
      </c>
    </row>
    <row r="303" spans="1:5" s="2" customFormat="1" ht="178.5" outlineLevel="1">
      <c r="A303" s="78" t="s">
        <v>314</v>
      </c>
      <c r="B303" s="56" t="s">
        <v>237</v>
      </c>
      <c r="C303" s="147" t="s">
        <v>1093</v>
      </c>
      <c r="D303" s="287" t="s">
        <v>390</v>
      </c>
      <c r="E303" s="288" t="s">
        <v>1530</v>
      </c>
    </row>
    <row r="304" spans="1:5" s="2" customFormat="1" ht="76.5" outlineLevel="1">
      <c r="A304" s="311" t="s">
        <v>677</v>
      </c>
      <c r="B304" s="191" t="s">
        <v>560</v>
      </c>
      <c r="C304" s="191" t="s">
        <v>1094</v>
      </c>
      <c r="D304" s="192"/>
      <c r="E304" s="533" t="s">
        <v>1821</v>
      </c>
    </row>
    <row r="305" spans="1:8" s="2" customFormat="1" ht="15.75" outlineLevel="1">
      <c r="A305" s="215" t="s">
        <v>1785</v>
      </c>
      <c r="B305" s="264" t="s">
        <v>546</v>
      </c>
      <c r="C305" s="56"/>
      <c r="D305" s="185" t="s">
        <v>59</v>
      </c>
      <c r="E305" s="534"/>
    </row>
    <row r="306" spans="1:8" s="2" customFormat="1" ht="15.75" outlineLevel="1">
      <c r="A306" s="215" t="s">
        <v>1786</v>
      </c>
      <c r="B306" s="264" t="s">
        <v>547</v>
      </c>
      <c r="C306" s="56"/>
      <c r="D306" s="185" t="s">
        <v>59</v>
      </c>
      <c r="E306" s="534"/>
    </row>
    <row r="307" spans="1:8" s="2" customFormat="1" ht="15.75" outlineLevel="1">
      <c r="A307" s="215" t="s">
        <v>1787</v>
      </c>
      <c r="B307" s="264" t="s">
        <v>548</v>
      </c>
      <c r="C307" s="56"/>
      <c r="D307" s="185" t="s">
        <v>59</v>
      </c>
      <c r="E307" s="534"/>
    </row>
    <row r="308" spans="1:8" s="2" customFormat="1" ht="15.75" outlineLevel="1">
      <c r="A308" s="215" t="s">
        <v>1788</v>
      </c>
      <c r="B308" s="264" t="s">
        <v>549</v>
      </c>
      <c r="C308" s="56"/>
      <c r="D308" s="185" t="s">
        <v>59</v>
      </c>
      <c r="E308" s="534"/>
    </row>
    <row r="309" spans="1:8" s="2" customFormat="1" ht="15.75" outlineLevel="1">
      <c r="A309" s="215" t="s">
        <v>1789</v>
      </c>
      <c r="B309" s="264" t="s">
        <v>550</v>
      </c>
      <c r="C309" s="56"/>
      <c r="D309" s="185" t="s">
        <v>59</v>
      </c>
      <c r="E309" s="535"/>
    </row>
    <row r="310" spans="1:8" s="2" customFormat="1" ht="89.25" outlineLevel="1">
      <c r="A310" s="510" t="s">
        <v>678</v>
      </c>
      <c r="B310" s="511" t="s">
        <v>1799</v>
      </c>
      <c r="C310" s="511" t="s">
        <v>1801</v>
      </c>
      <c r="D310" s="210"/>
      <c r="E310" s="537" t="s">
        <v>1803</v>
      </c>
      <c r="F310"/>
      <c r="G310"/>
      <c r="H310"/>
    </row>
    <row r="311" spans="1:8" s="2" customFormat="1" ht="15.75" outlineLevel="1">
      <c r="A311" s="507" t="s">
        <v>1790</v>
      </c>
      <c r="B311" s="265" t="s">
        <v>1795</v>
      </c>
      <c r="C311" s="508"/>
      <c r="D311" s="218" t="s">
        <v>59</v>
      </c>
      <c r="E311" s="538"/>
      <c r="F311"/>
      <c r="G311"/>
      <c r="H311"/>
    </row>
    <row r="312" spans="1:8" s="2" customFormat="1" ht="15.75" outlineLevel="1">
      <c r="A312" s="507" t="s">
        <v>1791</v>
      </c>
      <c r="B312" s="265" t="s">
        <v>1796</v>
      </c>
      <c r="C312" s="508"/>
      <c r="D312" s="218" t="s">
        <v>59</v>
      </c>
      <c r="E312" s="538"/>
      <c r="F312"/>
      <c r="G312"/>
      <c r="H312"/>
    </row>
    <row r="313" spans="1:8" s="2" customFormat="1" ht="15.75" outlineLevel="1">
      <c r="A313" s="507" t="s">
        <v>1792</v>
      </c>
      <c r="B313" s="265" t="s">
        <v>1797</v>
      </c>
      <c r="C313" s="508"/>
      <c r="D313" s="218" t="s">
        <v>59</v>
      </c>
      <c r="E313" s="538"/>
      <c r="F313"/>
      <c r="G313"/>
      <c r="H313"/>
    </row>
    <row r="314" spans="1:8" s="2" customFormat="1" ht="15.75" outlineLevel="1">
      <c r="A314" s="507" t="s">
        <v>1793</v>
      </c>
      <c r="B314" s="265" t="s">
        <v>549</v>
      </c>
      <c r="C314" s="508"/>
      <c r="D314" s="218" t="s">
        <v>59</v>
      </c>
      <c r="E314" s="538"/>
      <c r="F314"/>
      <c r="G314"/>
      <c r="H314"/>
    </row>
    <row r="315" spans="1:8" s="2" customFormat="1" ht="15.75" outlineLevel="1">
      <c r="A315" s="507" t="s">
        <v>1794</v>
      </c>
      <c r="B315" s="265" t="s">
        <v>1798</v>
      </c>
      <c r="C315" s="508"/>
      <c r="D315" s="218" t="s">
        <v>59</v>
      </c>
      <c r="E315" s="539"/>
      <c r="F315"/>
      <c r="G315"/>
      <c r="H315"/>
    </row>
    <row r="316" spans="1:8" s="2" customFormat="1" ht="38.25" outlineLevel="1">
      <c r="A316" s="215" t="s">
        <v>315</v>
      </c>
      <c r="B316" s="56" t="s">
        <v>590</v>
      </c>
      <c r="C316" s="147" t="s">
        <v>1095</v>
      </c>
      <c r="D316" s="185" t="s">
        <v>42</v>
      </c>
      <c r="E316" s="476" t="s">
        <v>1532</v>
      </c>
      <c r="F316"/>
      <c r="G316"/>
      <c r="H316"/>
    </row>
    <row r="317" spans="1:8" s="2" customFormat="1" ht="38.25" outlineLevel="1">
      <c r="A317" s="215" t="s">
        <v>317</v>
      </c>
      <c r="B317" s="147" t="s">
        <v>562</v>
      </c>
      <c r="C317" s="147" t="s">
        <v>561</v>
      </c>
      <c r="D317" s="185" t="s">
        <v>48</v>
      </c>
      <c r="E317" s="476" t="s">
        <v>1531</v>
      </c>
    </row>
    <row r="318" spans="1:8" s="2" customFormat="1" ht="51" outlineLevel="1">
      <c r="A318" s="215" t="s">
        <v>318</v>
      </c>
      <c r="B318" s="56" t="s">
        <v>768</v>
      </c>
      <c r="C318" s="147" t="s">
        <v>1096</v>
      </c>
      <c r="D318" s="185" t="s">
        <v>42</v>
      </c>
      <c r="E318" s="476" t="s">
        <v>1533</v>
      </c>
    </row>
    <row r="319" spans="1:8" s="2" customFormat="1" ht="65.45" customHeight="1" outlineLevel="1">
      <c r="A319" s="290" t="s">
        <v>319</v>
      </c>
      <c r="B319" s="56" t="s">
        <v>1097</v>
      </c>
      <c r="C319" s="56" t="s">
        <v>1098</v>
      </c>
      <c r="D319" s="218" t="s">
        <v>42</v>
      </c>
      <c r="E319" s="530" t="s">
        <v>1534</v>
      </c>
    </row>
    <row r="320" spans="1:8" s="2" customFormat="1" ht="66.599999999999994" customHeight="1" outlineLevel="1">
      <c r="A320" s="290" t="s">
        <v>320</v>
      </c>
      <c r="B320" s="56" t="s">
        <v>1099</v>
      </c>
      <c r="C320" s="56" t="s">
        <v>1100</v>
      </c>
      <c r="D320" s="218" t="s">
        <v>42</v>
      </c>
      <c r="E320" s="536"/>
    </row>
    <row r="321" spans="1:5" s="2" customFormat="1" ht="25.5" outlineLevel="1">
      <c r="A321" s="290" t="s">
        <v>321</v>
      </c>
      <c r="B321" s="56" t="s">
        <v>1101</v>
      </c>
      <c r="C321" s="56" t="s">
        <v>551</v>
      </c>
      <c r="D321" s="218" t="s">
        <v>42</v>
      </c>
      <c r="E321" s="530" t="s">
        <v>1535</v>
      </c>
    </row>
    <row r="322" spans="1:5" s="2" customFormat="1" ht="25.5" outlineLevel="1">
      <c r="A322" s="290" t="s">
        <v>322</v>
      </c>
      <c r="B322" s="56" t="s">
        <v>1102</v>
      </c>
      <c r="C322" s="56" t="s">
        <v>551</v>
      </c>
      <c r="D322" s="218" t="s">
        <v>42</v>
      </c>
      <c r="E322" s="532"/>
    </row>
    <row r="323" spans="1:5" s="2" customFormat="1" ht="38.25" outlineLevel="1">
      <c r="A323" s="215" t="s">
        <v>323</v>
      </c>
      <c r="B323" s="147" t="s">
        <v>1103</v>
      </c>
      <c r="C323" s="147" t="s">
        <v>623</v>
      </c>
      <c r="D323" s="185" t="s">
        <v>59</v>
      </c>
      <c r="E323" s="553" t="s">
        <v>1536</v>
      </c>
    </row>
    <row r="324" spans="1:5" s="2" customFormat="1" ht="38.25" outlineLevel="1">
      <c r="A324" s="215" t="s">
        <v>324</v>
      </c>
      <c r="B324" s="147" t="s">
        <v>1104</v>
      </c>
      <c r="C324" s="147" t="s">
        <v>623</v>
      </c>
      <c r="D324" s="185" t="s">
        <v>59</v>
      </c>
      <c r="E324" s="554"/>
    </row>
    <row r="325" spans="1:5" s="2" customFormat="1" ht="38.25" outlineLevel="1">
      <c r="A325" s="215" t="s">
        <v>325</v>
      </c>
      <c r="B325" s="147" t="s">
        <v>1105</v>
      </c>
      <c r="C325" s="147" t="s">
        <v>624</v>
      </c>
      <c r="D325" s="185" t="s">
        <v>59</v>
      </c>
      <c r="E325" s="555"/>
    </row>
    <row r="326" spans="1:5" s="2" customFormat="1" ht="51" outlineLevel="1">
      <c r="A326" s="215" t="s">
        <v>326</v>
      </c>
      <c r="B326" s="147" t="s">
        <v>1106</v>
      </c>
      <c r="C326" s="147" t="s">
        <v>1038</v>
      </c>
      <c r="D326" s="291" t="s">
        <v>59</v>
      </c>
      <c r="E326" s="144" t="s">
        <v>1537</v>
      </c>
    </row>
    <row r="327" spans="1:5" s="2" customFormat="1" ht="153" outlineLevel="1">
      <c r="A327" s="215" t="s">
        <v>327</v>
      </c>
      <c r="B327" s="147" t="s">
        <v>1107</v>
      </c>
      <c r="C327" s="147" t="s">
        <v>625</v>
      </c>
      <c r="D327" s="185" t="s">
        <v>59</v>
      </c>
      <c r="E327" s="147" t="s">
        <v>1538</v>
      </c>
    </row>
    <row r="328" spans="1:5" s="2" customFormat="1" ht="63.75" outlineLevel="1">
      <c r="A328" s="215" t="s">
        <v>329</v>
      </c>
      <c r="B328" s="268" t="s">
        <v>1108</v>
      </c>
      <c r="C328" s="220" t="s">
        <v>1109</v>
      </c>
      <c r="D328" s="221" t="s">
        <v>49</v>
      </c>
      <c r="E328" s="578" t="s">
        <v>1539</v>
      </c>
    </row>
    <row r="329" spans="1:5" s="2" customFormat="1" ht="63.75" outlineLevel="1">
      <c r="A329" s="215" t="s">
        <v>331</v>
      </c>
      <c r="B329" s="220" t="s">
        <v>1110</v>
      </c>
      <c r="C329" s="220" t="s">
        <v>1111</v>
      </c>
      <c r="D329" s="221" t="s">
        <v>49</v>
      </c>
      <c r="E329" s="579"/>
    </row>
    <row r="330" spans="1:5" s="2" customFormat="1" ht="25.5" outlineLevel="1">
      <c r="A330" s="215" t="s">
        <v>333</v>
      </c>
      <c r="B330" s="147" t="s">
        <v>216</v>
      </c>
      <c r="C330" s="147" t="s">
        <v>1112</v>
      </c>
      <c r="D330" s="291" t="s">
        <v>1</v>
      </c>
      <c r="E330" s="580"/>
    </row>
    <row r="331" spans="1:5" s="2" customFormat="1" ht="89.25" outlineLevel="1">
      <c r="A331" s="293" t="s">
        <v>335</v>
      </c>
      <c r="B331" s="294" t="s">
        <v>1113</v>
      </c>
      <c r="C331" s="295" t="s">
        <v>304</v>
      </c>
      <c r="D331" s="296" t="s">
        <v>48</v>
      </c>
      <c r="E331" s="487" t="s">
        <v>1540</v>
      </c>
    </row>
    <row r="332" spans="1:5" s="2" customFormat="1" ht="40.15" customHeight="1" outlineLevel="1">
      <c r="A332" s="516" t="s">
        <v>1424</v>
      </c>
      <c r="B332" s="516"/>
      <c r="C332" s="517"/>
      <c r="D332" s="180"/>
      <c r="E332" s="470"/>
    </row>
    <row r="333" spans="1:5" s="2" customFormat="1" ht="63.75" outlineLevel="1">
      <c r="A333" s="301" t="s">
        <v>337</v>
      </c>
      <c r="B333" s="302" t="s">
        <v>1030</v>
      </c>
      <c r="C333" s="302" t="s">
        <v>1114</v>
      </c>
      <c r="D333" s="303"/>
      <c r="E333" s="581" t="s">
        <v>1541</v>
      </c>
    </row>
    <row r="334" spans="1:5" s="2" customFormat="1" ht="15.75" outlineLevel="1">
      <c r="A334" s="78" t="s">
        <v>564</v>
      </c>
      <c r="B334" s="307" t="s">
        <v>1115</v>
      </c>
      <c r="C334" s="189"/>
      <c r="D334" s="139" t="s">
        <v>42</v>
      </c>
      <c r="E334" s="582"/>
    </row>
    <row r="335" spans="1:5" s="2" customFormat="1" ht="15.75" outlineLevel="1">
      <c r="A335" s="78" t="s">
        <v>565</v>
      </c>
      <c r="B335" s="307" t="s">
        <v>20</v>
      </c>
      <c r="C335" s="189"/>
      <c r="D335" s="139" t="s">
        <v>42</v>
      </c>
      <c r="E335" s="582"/>
    </row>
    <row r="336" spans="1:5" s="2" customFormat="1" ht="15.75" outlineLevel="1">
      <c r="A336" s="78" t="s">
        <v>566</v>
      </c>
      <c r="B336" s="307" t="s">
        <v>21</v>
      </c>
      <c r="C336" s="189"/>
      <c r="D336" s="139" t="s">
        <v>42</v>
      </c>
      <c r="E336" s="582"/>
    </row>
    <row r="337" spans="1:5" s="2" customFormat="1" ht="15.75" outlineLevel="1">
      <c r="A337" s="78" t="s">
        <v>567</v>
      </c>
      <c r="B337" s="307" t="s">
        <v>22</v>
      </c>
      <c r="C337" s="189"/>
      <c r="D337" s="139" t="s">
        <v>42</v>
      </c>
      <c r="E337" s="583"/>
    </row>
    <row r="338" spans="1:5" s="2" customFormat="1" ht="76.5" outlineLevel="1">
      <c r="A338" s="78" t="s">
        <v>338</v>
      </c>
      <c r="B338" s="147" t="s">
        <v>1116</v>
      </c>
      <c r="C338" s="147" t="s">
        <v>1117</v>
      </c>
      <c r="D338" s="185" t="s">
        <v>42</v>
      </c>
      <c r="E338" s="465" t="s">
        <v>1542</v>
      </c>
    </row>
    <row r="339" spans="1:5" s="2" customFormat="1" ht="76.5" outlineLevel="1">
      <c r="A339" s="78" t="s">
        <v>339</v>
      </c>
      <c r="B339" s="147" t="s">
        <v>250</v>
      </c>
      <c r="C339" s="147" t="s">
        <v>1338</v>
      </c>
      <c r="D339" s="185" t="s">
        <v>42</v>
      </c>
      <c r="E339" s="488" t="s">
        <v>1543</v>
      </c>
    </row>
    <row r="340" spans="1:5" s="2" customFormat="1" ht="89.25" outlineLevel="1">
      <c r="A340" s="78" t="s">
        <v>902</v>
      </c>
      <c r="B340" s="147" t="s">
        <v>885</v>
      </c>
      <c r="C340" s="147" t="s">
        <v>1118</v>
      </c>
      <c r="D340" s="185" t="s">
        <v>42</v>
      </c>
      <c r="E340" s="488" t="s">
        <v>1544</v>
      </c>
    </row>
    <row r="341" spans="1:5" s="2" customFormat="1" ht="89.25" outlineLevel="1">
      <c r="A341" s="289" t="s">
        <v>903</v>
      </c>
      <c r="B341" s="309" t="s">
        <v>886</v>
      </c>
      <c r="C341" s="309" t="s">
        <v>1119</v>
      </c>
      <c r="D341" s="192"/>
      <c r="E341" s="542" t="s">
        <v>1545</v>
      </c>
    </row>
    <row r="342" spans="1:5" s="2" customFormat="1" ht="15.75" outlineLevel="1">
      <c r="A342" s="78" t="s">
        <v>904</v>
      </c>
      <c r="B342" s="264" t="s">
        <v>1120</v>
      </c>
      <c r="C342" s="147"/>
      <c r="D342" s="291" t="s">
        <v>42</v>
      </c>
      <c r="E342" s="543"/>
    </row>
    <row r="343" spans="1:5" s="2" customFormat="1" ht="15.75" outlineLevel="1">
      <c r="A343" s="78" t="s">
        <v>905</v>
      </c>
      <c r="B343" s="264" t="s">
        <v>1121</v>
      </c>
      <c r="C343" s="147"/>
      <c r="D343" s="291" t="s">
        <v>42</v>
      </c>
      <c r="E343" s="543"/>
    </row>
    <row r="344" spans="1:5" s="2" customFormat="1" ht="15.75" outlineLevel="1">
      <c r="A344" s="78" t="s">
        <v>906</v>
      </c>
      <c r="B344" s="264" t="s">
        <v>1122</v>
      </c>
      <c r="C344" s="147"/>
      <c r="D344" s="291" t="s">
        <v>42</v>
      </c>
      <c r="E344" s="543"/>
    </row>
    <row r="345" spans="1:5" s="2" customFormat="1" ht="15.75" outlineLevel="1">
      <c r="A345" s="78" t="s">
        <v>907</v>
      </c>
      <c r="B345" s="264" t="s">
        <v>1123</v>
      </c>
      <c r="C345" s="147"/>
      <c r="D345" s="291" t="s">
        <v>42</v>
      </c>
      <c r="E345" s="543"/>
    </row>
    <row r="346" spans="1:5" s="2" customFormat="1" ht="15.75" outlineLevel="1">
      <c r="A346" s="78" t="s">
        <v>908</v>
      </c>
      <c r="B346" s="264" t="s">
        <v>1124</v>
      </c>
      <c r="C346" s="147"/>
      <c r="D346" s="291" t="s">
        <v>42</v>
      </c>
      <c r="E346" s="543"/>
    </row>
    <row r="347" spans="1:5" s="2" customFormat="1" ht="15.75" outlineLevel="1">
      <c r="A347" s="78" t="s">
        <v>909</v>
      </c>
      <c r="B347" s="264" t="s">
        <v>1125</v>
      </c>
      <c r="C347" s="147"/>
      <c r="D347" s="291" t="s">
        <v>42</v>
      </c>
      <c r="E347" s="544"/>
    </row>
    <row r="348" spans="1:5" s="2" customFormat="1" ht="89.25" outlineLevel="1">
      <c r="A348" s="78" t="s">
        <v>340</v>
      </c>
      <c r="B348" s="56" t="s">
        <v>1126</v>
      </c>
      <c r="C348" s="189" t="s">
        <v>261</v>
      </c>
      <c r="D348" s="139" t="s">
        <v>57</v>
      </c>
      <c r="E348" s="489" t="s">
        <v>1546</v>
      </c>
    </row>
    <row r="349" spans="1:5" s="2" customFormat="1" ht="89.25" outlineLevel="1">
      <c r="A349" s="78" t="s">
        <v>341</v>
      </c>
      <c r="B349" s="147" t="s">
        <v>1127</v>
      </c>
      <c r="C349" s="56" t="s">
        <v>1128</v>
      </c>
      <c r="D349" s="185" t="s">
        <v>283</v>
      </c>
      <c r="E349" s="488" t="s">
        <v>1547</v>
      </c>
    </row>
    <row r="350" spans="1:5" s="2" customFormat="1" ht="63.75" outlineLevel="1">
      <c r="A350" s="78" t="s">
        <v>342</v>
      </c>
      <c r="B350" s="189" t="s">
        <v>572</v>
      </c>
      <c r="C350" s="189" t="s">
        <v>1129</v>
      </c>
      <c r="D350" s="139" t="s">
        <v>283</v>
      </c>
      <c r="E350" s="488" t="s">
        <v>1548</v>
      </c>
    </row>
    <row r="351" spans="1:5" s="2" customFormat="1" ht="38.25" outlineLevel="1">
      <c r="A351" s="78" t="s">
        <v>345</v>
      </c>
      <c r="B351" s="147" t="s">
        <v>249</v>
      </c>
      <c r="C351" s="189" t="s">
        <v>866</v>
      </c>
      <c r="D351" s="291" t="s">
        <v>1</v>
      </c>
      <c r="E351" s="488" t="s">
        <v>1549</v>
      </c>
    </row>
    <row r="352" spans="1:5" s="2" customFormat="1" ht="63.75" outlineLevel="1">
      <c r="A352" s="311" t="s">
        <v>346</v>
      </c>
      <c r="B352" s="191" t="s">
        <v>1133</v>
      </c>
      <c r="C352" s="191" t="s">
        <v>1010</v>
      </c>
      <c r="D352" s="192"/>
      <c r="E352" s="594" t="s">
        <v>1550</v>
      </c>
    </row>
    <row r="353" spans="1:5" s="2" customFormat="1" ht="15.75" outlineLevel="1">
      <c r="A353" s="45" t="s">
        <v>568</v>
      </c>
      <c r="B353" s="265" t="s">
        <v>1132</v>
      </c>
      <c r="C353" s="56"/>
      <c r="D353" s="218" t="s">
        <v>42</v>
      </c>
      <c r="E353" s="595"/>
    </row>
    <row r="354" spans="1:5" s="2" customFormat="1" ht="15.75" outlineLevel="1">
      <c r="A354" s="45" t="s">
        <v>569</v>
      </c>
      <c r="B354" s="265" t="s">
        <v>1130</v>
      </c>
      <c r="C354" s="56"/>
      <c r="D354" s="218" t="s">
        <v>42</v>
      </c>
      <c r="E354" s="595"/>
    </row>
    <row r="355" spans="1:5" s="2" customFormat="1" ht="15.75" outlineLevel="1">
      <c r="A355" s="45" t="s">
        <v>570</v>
      </c>
      <c r="B355" s="265" t="s">
        <v>1131</v>
      </c>
      <c r="C355" s="56"/>
      <c r="D355" s="218" t="s">
        <v>42</v>
      </c>
      <c r="E355" s="596"/>
    </row>
    <row r="356" spans="1:5" s="2" customFormat="1" ht="46.9" customHeight="1" outlineLevel="1">
      <c r="A356" s="183" t="s">
        <v>347</v>
      </c>
      <c r="B356" s="147" t="s">
        <v>1806</v>
      </c>
      <c r="C356" s="147" t="s">
        <v>1805</v>
      </c>
      <c r="D356" s="185" t="s">
        <v>42</v>
      </c>
      <c r="E356" s="597" t="s">
        <v>1804</v>
      </c>
    </row>
    <row r="357" spans="1:5" s="2" customFormat="1" ht="43.9" customHeight="1" outlineLevel="1">
      <c r="A357" s="183" t="s">
        <v>348</v>
      </c>
      <c r="B357" s="147" t="s">
        <v>1134</v>
      </c>
      <c r="C357" s="147" t="s">
        <v>92</v>
      </c>
      <c r="D357" s="185" t="s">
        <v>42</v>
      </c>
      <c r="E357" s="598"/>
    </row>
    <row r="358" spans="1:5" s="2" customFormat="1" ht="96" customHeight="1" outlineLevel="1">
      <c r="A358" s="183" t="s">
        <v>349</v>
      </c>
      <c r="B358" s="56" t="s">
        <v>1135</v>
      </c>
      <c r="C358" s="56" t="s">
        <v>514</v>
      </c>
      <c r="D358" s="218" t="s">
        <v>42</v>
      </c>
      <c r="E358" s="597" t="s">
        <v>1551</v>
      </c>
    </row>
    <row r="359" spans="1:5" s="2" customFormat="1" ht="93" customHeight="1" outlineLevel="1">
      <c r="A359" s="183" t="s">
        <v>350</v>
      </c>
      <c r="B359" s="56" t="s">
        <v>1136</v>
      </c>
      <c r="C359" s="56" t="s">
        <v>514</v>
      </c>
      <c r="D359" s="218" t="s">
        <v>42</v>
      </c>
      <c r="E359" s="598"/>
    </row>
    <row r="360" spans="1:5" s="2" customFormat="1" ht="153" outlineLevel="1">
      <c r="A360" s="312" t="s">
        <v>351</v>
      </c>
      <c r="B360" s="56" t="s">
        <v>515</v>
      </c>
      <c r="C360" s="56" t="s">
        <v>1137</v>
      </c>
      <c r="D360" s="218" t="s">
        <v>42</v>
      </c>
      <c r="E360" s="476" t="s">
        <v>1552</v>
      </c>
    </row>
    <row r="361" spans="1:5" s="2" customFormat="1" ht="40.15" customHeight="1" outlineLevel="1">
      <c r="A361" s="516" t="s">
        <v>1425</v>
      </c>
      <c r="B361" s="516"/>
      <c r="C361" s="517"/>
      <c r="D361" s="180"/>
      <c r="E361" s="490" t="s">
        <v>1553</v>
      </c>
    </row>
    <row r="362" spans="1:5" s="2" customFormat="1" ht="229.5" outlineLevel="1">
      <c r="A362" s="127" t="s">
        <v>354</v>
      </c>
      <c r="B362" s="56" t="s">
        <v>1138</v>
      </c>
      <c r="C362" s="313" t="s">
        <v>1339</v>
      </c>
      <c r="D362" s="139" t="s">
        <v>1</v>
      </c>
      <c r="E362" s="80" t="s">
        <v>1554</v>
      </c>
    </row>
    <row r="363" spans="1:5" s="2" customFormat="1" ht="204" outlineLevel="1">
      <c r="A363" s="127" t="s">
        <v>355</v>
      </c>
      <c r="B363" s="56" t="s">
        <v>1139</v>
      </c>
      <c r="C363" s="313" t="s">
        <v>1340</v>
      </c>
      <c r="D363" s="139" t="s">
        <v>1</v>
      </c>
      <c r="E363" s="489" t="s">
        <v>1555</v>
      </c>
    </row>
    <row r="364" spans="1:5" s="2" customFormat="1" ht="204" outlineLevel="1">
      <c r="A364" s="127" t="s">
        <v>911</v>
      </c>
      <c r="B364" s="56" t="s">
        <v>1140</v>
      </c>
      <c r="C364" s="313" t="s">
        <v>1341</v>
      </c>
      <c r="D364" s="139" t="s">
        <v>1</v>
      </c>
      <c r="E364" s="489" t="s">
        <v>1562</v>
      </c>
    </row>
    <row r="365" spans="1:5" s="2" customFormat="1" ht="267.75" outlineLevel="1">
      <c r="A365" s="127" t="s">
        <v>356</v>
      </c>
      <c r="B365" s="56" t="s">
        <v>1141</v>
      </c>
      <c r="C365" s="313" t="s">
        <v>1342</v>
      </c>
      <c r="D365" s="139" t="s">
        <v>1</v>
      </c>
      <c r="E365" s="489" t="s">
        <v>1556</v>
      </c>
    </row>
    <row r="366" spans="1:5" s="2" customFormat="1" ht="255" outlineLevel="1">
      <c r="A366" s="127" t="s">
        <v>357</v>
      </c>
      <c r="B366" s="56" t="s">
        <v>1142</v>
      </c>
      <c r="C366" s="313" t="s">
        <v>1343</v>
      </c>
      <c r="D366" s="139" t="s">
        <v>1</v>
      </c>
      <c r="E366" s="489" t="s">
        <v>1557</v>
      </c>
    </row>
    <row r="367" spans="1:5" s="2" customFormat="1" ht="293.25" outlineLevel="1">
      <c r="A367" s="127" t="s">
        <v>912</v>
      </c>
      <c r="B367" s="56" t="s">
        <v>1143</v>
      </c>
      <c r="C367" s="313" t="s">
        <v>1344</v>
      </c>
      <c r="D367" s="139" t="s">
        <v>1</v>
      </c>
      <c r="E367" s="489" t="s">
        <v>1558</v>
      </c>
    </row>
    <row r="368" spans="1:5" s="2" customFormat="1" ht="229.5" outlineLevel="1">
      <c r="A368" s="127" t="s">
        <v>358</v>
      </c>
      <c r="B368" s="56" t="s">
        <v>1144</v>
      </c>
      <c r="C368" s="313" t="s">
        <v>1345</v>
      </c>
      <c r="D368" s="139" t="s">
        <v>1</v>
      </c>
      <c r="E368" s="489" t="s">
        <v>1559</v>
      </c>
    </row>
    <row r="369" spans="1:5" s="2" customFormat="1" ht="204" outlineLevel="1">
      <c r="A369" s="127" t="s">
        <v>359</v>
      </c>
      <c r="B369" s="56" t="s">
        <v>1145</v>
      </c>
      <c r="C369" s="313" t="s">
        <v>1346</v>
      </c>
      <c r="D369" s="139" t="s">
        <v>1</v>
      </c>
      <c r="E369" s="489" t="s">
        <v>1560</v>
      </c>
    </row>
    <row r="370" spans="1:5" s="2" customFormat="1" ht="204" outlineLevel="1">
      <c r="A370" s="127" t="s">
        <v>913</v>
      </c>
      <c r="B370" s="56" t="s">
        <v>1146</v>
      </c>
      <c r="C370" s="313" t="s">
        <v>1341</v>
      </c>
      <c r="D370" s="139" t="s">
        <v>1</v>
      </c>
      <c r="E370" s="489" t="s">
        <v>1563</v>
      </c>
    </row>
    <row r="371" spans="1:5" s="2" customFormat="1" ht="229.5" outlineLevel="1">
      <c r="A371" s="127" t="s">
        <v>360</v>
      </c>
      <c r="B371" s="56" t="s">
        <v>1147</v>
      </c>
      <c r="C371" s="313" t="s">
        <v>1347</v>
      </c>
      <c r="D371" s="139" t="s">
        <v>1</v>
      </c>
      <c r="E371" s="472" t="s">
        <v>1564</v>
      </c>
    </row>
    <row r="372" spans="1:5" s="2" customFormat="1" ht="242.25" outlineLevel="1">
      <c r="A372" s="127" t="s">
        <v>362</v>
      </c>
      <c r="B372" s="56" t="s">
        <v>1148</v>
      </c>
      <c r="C372" s="313" t="s">
        <v>1348</v>
      </c>
      <c r="D372" s="139" t="s">
        <v>1</v>
      </c>
      <c r="E372" s="472" t="s">
        <v>1561</v>
      </c>
    </row>
    <row r="373" spans="1:5" s="2" customFormat="1" ht="216.75" outlineLevel="1">
      <c r="A373" s="127" t="s">
        <v>914</v>
      </c>
      <c r="B373" s="56" t="s">
        <v>1149</v>
      </c>
      <c r="C373" s="313" t="s">
        <v>1349</v>
      </c>
      <c r="D373" s="139" t="s">
        <v>1</v>
      </c>
      <c r="E373" s="472" t="s">
        <v>1565</v>
      </c>
    </row>
    <row r="374" spans="1:5" s="2" customFormat="1" ht="51" outlineLevel="1">
      <c r="A374" s="127" t="s">
        <v>364</v>
      </c>
      <c r="B374" s="56" t="s">
        <v>1150</v>
      </c>
      <c r="C374" s="56" t="s">
        <v>421</v>
      </c>
      <c r="D374" s="139" t="s">
        <v>59</v>
      </c>
      <c r="E374" s="587" t="s">
        <v>1566</v>
      </c>
    </row>
    <row r="375" spans="1:5" s="2" customFormat="1" ht="63.75" outlineLevel="1">
      <c r="A375" s="127" t="s">
        <v>365</v>
      </c>
      <c r="B375" s="56" t="s">
        <v>1151</v>
      </c>
      <c r="C375" s="56" t="s">
        <v>1039</v>
      </c>
      <c r="D375" s="139" t="s">
        <v>59</v>
      </c>
      <c r="E375" s="599"/>
    </row>
    <row r="376" spans="1:5" s="2" customFormat="1" ht="51" outlineLevel="1">
      <c r="A376" s="127" t="s">
        <v>366</v>
      </c>
      <c r="B376" s="79" t="s">
        <v>1153</v>
      </c>
      <c r="C376" s="219" t="s">
        <v>1040</v>
      </c>
      <c r="D376" s="139" t="s">
        <v>59</v>
      </c>
      <c r="E376" s="599"/>
    </row>
    <row r="377" spans="1:5" s="2" customFormat="1" ht="63.75" outlineLevel="1">
      <c r="A377" s="127" t="s">
        <v>367</v>
      </c>
      <c r="B377" s="79" t="s">
        <v>1152</v>
      </c>
      <c r="C377" s="219" t="s">
        <v>1041</v>
      </c>
      <c r="D377" s="139" t="s">
        <v>59</v>
      </c>
      <c r="E377" s="599"/>
    </row>
    <row r="378" spans="1:5" s="2" customFormat="1" ht="51" outlineLevel="1">
      <c r="A378" s="127" t="s">
        <v>369</v>
      </c>
      <c r="B378" s="79" t="s">
        <v>1154</v>
      </c>
      <c r="C378" s="219" t="s">
        <v>1042</v>
      </c>
      <c r="D378" s="139" t="s">
        <v>59</v>
      </c>
      <c r="E378" s="599"/>
    </row>
    <row r="379" spans="1:5" s="2" customFormat="1" ht="63.75" outlineLevel="1">
      <c r="A379" s="127" t="s">
        <v>370</v>
      </c>
      <c r="B379" s="79" t="s">
        <v>1155</v>
      </c>
      <c r="C379" s="219" t="s">
        <v>1043</v>
      </c>
      <c r="D379" s="139" t="s">
        <v>59</v>
      </c>
      <c r="E379" s="599"/>
    </row>
    <row r="380" spans="1:5" s="2" customFormat="1" ht="51" outlineLevel="1">
      <c r="A380" s="127" t="s">
        <v>371</v>
      </c>
      <c r="B380" s="79" t="s">
        <v>1156</v>
      </c>
      <c r="C380" s="219" t="s">
        <v>1044</v>
      </c>
      <c r="D380" s="139" t="s">
        <v>59</v>
      </c>
      <c r="E380" s="599"/>
    </row>
    <row r="381" spans="1:5" s="2" customFormat="1" ht="63.75" outlineLevel="1">
      <c r="A381" s="127" t="s">
        <v>372</v>
      </c>
      <c r="B381" s="56" t="s">
        <v>1157</v>
      </c>
      <c r="C381" s="219" t="s">
        <v>1045</v>
      </c>
      <c r="D381" s="139" t="s">
        <v>59</v>
      </c>
      <c r="E381" s="588"/>
    </row>
    <row r="382" spans="1:5" s="2" customFormat="1" ht="76.5" outlineLevel="1">
      <c r="A382" s="127" t="s">
        <v>373</v>
      </c>
      <c r="B382" s="79" t="s">
        <v>1024</v>
      </c>
      <c r="C382" s="219" t="s">
        <v>1158</v>
      </c>
      <c r="D382" s="139" t="s">
        <v>59</v>
      </c>
      <c r="E382" s="472" t="s">
        <v>1567</v>
      </c>
    </row>
    <row r="383" spans="1:5" s="2" customFormat="1" ht="114.75" outlineLevel="1">
      <c r="A383" s="127" t="s">
        <v>374</v>
      </c>
      <c r="B383" s="79" t="s">
        <v>343</v>
      </c>
      <c r="C383" s="219" t="s">
        <v>344</v>
      </c>
      <c r="D383" s="139" t="s">
        <v>59</v>
      </c>
      <c r="E383" s="472" t="s">
        <v>1568</v>
      </c>
    </row>
    <row r="384" spans="1:5" s="2" customFormat="1" ht="89.25" outlineLevel="1">
      <c r="A384" s="127" t="s">
        <v>377</v>
      </c>
      <c r="B384" s="56" t="s">
        <v>1159</v>
      </c>
      <c r="C384" s="56" t="s">
        <v>429</v>
      </c>
      <c r="D384" s="287" t="s">
        <v>59</v>
      </c>
      <c r="E384" s="472" t="s">
        <v>1569</v>
      </c>
    </row>
    <row r="385" spans="1:5" s="2" customFormat="1" ht="127.5" outlineLevel="1">
      <c r="A385" s="127" t="s">
        <v>379</v>
      </c>
      <c r="B385" s="56" t="s">
        <v>1160</v>
      </c>
      <c r="C385" s="56" t="s">
        <v>430</v>
      </c>
      <c r="D385" s="287" t="s">
        <v>59</v>
      </c>
      <c r="E385" s="472" t="s">
        <v>1570</v>
      </c>
    </row>
    <row r="386" spans="1:5" s="2" customFormat="1" ht="118.9" customHeight="1" outlineLevel="1">
      <c r="A386" s="127" t="s">
        <v>381</v>
      </c>
      <c r="B386" s="79" t="s">
        <v>1161</v>
      </c>
      <c r="C386" s="219" t="s">
        <v>361</v>
      </c>
      <c r="D386" s="287" t="s">
        <v>59</v>
      </c>
      <c r="E386" s="587" t="s">
        <v>1571</v>
      </c>
    </row>
    <row r="387" spans="1:5" s="2" customFormat="1" ht="122.45" customHeight="1" outlineLevel="1">
      <c r="A387" s="127" t="s">
        <v>384</v>
      </c>
      <c r="B387" s="79" t="s">
        <v>1162</v>
      </c>
      <c r="C387" s="219" t="s">
        <v>363</v>
      </c>
      <c r="D387" s="287" t="s">
        <v>59</v>
      </c>
      <c r="E387" s="588"/>
    </row>
    <row r="388" spans="1:5" s="2" customFormat="1" ht="40.15" customHeight="1" outlineLevel="1">
      <c r="A388" s="516" t="s">
        <v>1426</v>
      </c>
      <c r="B388" s="516"/>
      <c r="C388" s="517"/>
      <c r="D388" s="254"/>
      <c r="E388" s="481"/>
    </row>
    <row r="389" spans="1:5" s="2" customFormat="1" ht="15.75" outlineLevel="1">
      <c r="A389" s="214" t="s">
        <v>386</v>
      </c>
      <c r="B389" s="316" t="s">
        <v>720</v>
      </c>
      <c r="C389" s="317"/>
      <c r="D389" s="317"/>
      <c r="E389" s="316" t="s">
        <v>1572</v>
      </c>
    </row>
    <row r="390" spans="1:5" s="2" customFormat="1" ht="114.75" outlineLevel="1">
      <c r="A390" s="321" t="s">
        <v>922</v>
      </c>
      <c r="B390" s="147" t="s">
        <v>926</v>
      </c>
      <c r="C390" s="147" t="s">
        <v>1027</v>
      </c>
      <c r="D390" s="185" t="s">
        <v>923</v>
      </c>
      <c r="E390" s="491" t="s">
        <v>1573</v>
      </c>
    </row>
    <row r="391" spans="1:5" s="2" customFormat="1" ht="114.75" outlineLevel="1">
      <c r="A391" s="321" t="s">
        <v>852</v>
      </c>
      <c r="B391" s="147" t="s">
        <v>718</v>
      </c>
      <c r="C391" s="147" t="s">
        <v>1163</v>
      </c>
      <c r="D391" s="185" t="s">
        <v>42</v>
      </c>
      <c r="E391" s="63" t="s">
        <v>1581</v>
      </c>
    </row>
    <row r="392" spans="1:5" s="2" customFormat="1" ht="127.5" outlineLevel="1">
      <c r="A392" s="321" t="s">
        <v>853</v>
      </c>
      <c r="B392" s="147" t="s">
        <v>774</v>
      </c>
      <c r="C392" s="147" t="s">
        <v>1575</v>
      </c>
      <c r="D392" s="185" t="s">
        <v>42</v>
      </c>
      <c r="E392" s="63" t="s">
        <v>1574</v>
      </c>
    </row>
    <row r="393" spans="1:5" s="2" customFormat="1" ht="127.5" outlineLevel="1">
      <c r="A393" s="321" t="s">
        <v>854</v>
      </c>
      <c r="B393" s="147" t="s">
        <v>719</v>
      </c>
      <c r="C393" s="147" t="s">
        <v>1165</v>
      </c>
      <c r="D393" s="185" t="s">
        <v>42</v>
      </c>
      <c r="E393" s="63" t="s">
        <v>1576</v>
      </c>
    </row>
    <row r="394" spans="1:5" s="2" customFormat="1" ht="114.75" outlineLevel="1">
      <c r="A394" s="321" t="s">
        <v>855</v>
      </c>
      <c r="B394" s="147" t="s">
        <v>1019</v>
      </c>
      <c r="C394" s="147" t="s">
        <v>1166</v>
      </c>
      <c r="D394" s="185" t="s">
        <v>42</v>
      </c>
      <c r="E394" s="63" t="s">
        <v>1577</v>
      </c>
    </row>
    <row r="395" spans="1:5" s="2" customFormat="1" ht="89.25" outlineLevel="1">
      <c r="A395" s="321" t="s">
        <v>856</v>
      </c>
      <c r="B395" s="147" t="s">
        <v>947</v>
      </c>
      <c r="C395" s="147" t="s">
        <v>1579</v>
      </c>
      <c r="D395" s="185" t="s">
        <v>42</v>
      </c>
      <c r="E395" s="63" t="s">
        <v>1578</v>
      </c>
    </row>
    <row r="396" spans="1:5" s="2" customFormat="1" ht="102" outlineLevel="1">
      <c r="A396" s="321" t="s">
        <v>857</v>
      </c>
      <c r="B396" s="147" t="s">
        <v>1020</v>
      </c>
      <c r="C396" s="147" t="s">
        <v>1167</v>
      </c>
      <c r="D396" s="185" t="s">
        <v>42</v>
      </c>
      <c r="E396" s="63" t="s">
        <v>1580</v>
      </c>
    </row>
    <row r="397" spans="1:5" s="2" customFormat="1" ht="89.25" outlineLevel="1">
      <c r="A397" s="321" t="s">
        <v>858</v>
      </c>
      <c r="B397" s="147" t="s">
        <v>723</v>
      </c>
      <c r="C397" s="147" t="s">
        <v>1168</v>
      </c>
      <c r="D397" s="185" t="s">
        <v>42</v>
      </c>
      <c r="E397" s="63" t="s">
        <v>1582</v>
      </c>
    </row>
    <row r="398" spans="1:5" s="2" customFormat="1" ht="76.5" outlineLevel="1">
      <c r="A398" s="321" t="s">
        <v>859</v>
      </c>
      <c r="B398" s="147" t="s">
        <v>917</v>
      </c>
      <c r="C398" s="147" t="s">
        <v>919</v>
      </c>
      <c r="D398" s="185" t="s">
        <v>42</v>
      </c>
      <c r="E398" s="63" t="s">
        <v>1583</v>
      </c>
    </row>
    <row r="399" spans="1:5" s="2" customFormat="1" ht="76.5" outlineLevel="1">
      <c r="A399" s="321" t="s">
        <v>918</v>
      </c>
      <c r="B399" s="147" t="s">
        <v>1807</v>
      </c>
      <c r="C399" s="147" t="s">
        <v>1808</v>
      </c>
      <c r="D399" s="185" t="s">
        <v>42</v>
      </c>
      <c r="E399" s="63" t="s">
        <v>1809</v>
      </c>
    </row>
    <row r="400" spans="1:5" s="2" customFormat="1" ht="76.5" outlineLevel="1">
      <c r="A400" s="321" t="s">
        <v>934</v>
      </c>
      <c r="B400" s="147" t="s">
        <v>1021</v>
      </c>
      <c r="C400" s="147" t="s">
        <v>1584</v>
      </c>
      <c r="D400" s="185" t="s">
        <v>42</v>
      </c>
      <c r="E400" s="63" t="s">
        <v>1585</v>
      </c>
    </row>
    <row r="401" spans="1:5" s="2" customFormat="1" ht="127.5" outlineLevel="1">
      <c r="A401" s="321" t="s">
        <v>860</v>
      </c>
      <c r="B401" s="147" t="s">
        <v>1810</v>
      </c>
      <c r="C401" s="147" t="s">
        <v>1811</v>
      </c>
      <c r="D401" s="185" t="s">
        <v>42</v>
      </c>
      <c r="E401" s="63" t="s">
        <v>1812</v>
      </c>
    </row>
    <row r="402" spans="1:5" s="2" customFormat="1" ht="49.15" customHeight="1" outlineLevel="1">
      <c r="A402" s="321" t="s">
        <v>861</v>
      </c>
      <c r="B402" s="79" t="s">
        <v>663</v>
      </c>
      <c r="C402" s="219" t="s">
        <v>876</v>
      </c>
      <c r="D402" s="139" t="s">
        <v>42</v>
      </c>
      <c r="E402" s="587" t="s">
        <v>1586</v>
      </c>
    </row>
    <row r="403" spans="1:5" s="2" customFormat="1" ht="40.15" customHeight="1" outlineLevel="1">
      <c r="A403" s="321" t="s">
        <v>875</v>
      </c>
      <c r="B403" s="79" t="s">
        <v>877</v>
      </c>
      <c r="C403" s="219" t="s">
        <v>878</v>
      </c>
      <c r="D403" s="139" t="s">
        <v>42</v>
      </c>
      <c r="E403" s="588"/>
    </row>
    <row r="404" spans="1:5" s="2" customFormat="1" ht="25.5" outlineLevel="1">
      <c r="A404" s="214" t="s">
        <v>388</v>
      </c>
      <c r="B404" s="309" t="s">
        <v>778</v>
      </c>
      <c r="C404" s="323"/>
      <c r="D404" s="114"/>
      <c r="E404" s="464"/>
    </row>
    <row r="405" spans="1:5" s="2" customFormat="1" ht="102" outlineLevel="1">
      <c r="A405" s="321" t="s">
        <v>775</v>
      </c>
      <c r="B405" s="79" t="s">
        <v>779</v>
      </c>
      <c r="C405" s="219" t="s">
        <v>1170</v>
      </c>
      <c r="D405" s="139" t="s">
        <v>42</v>
      </c>
      <c r="E405" s="144" t="s">
        <v>1587</v>
      </c>
    </row>
    <row r="406" spans="1:5" s="2" customFormat="1" ht="178.5" outlineLevel="1">
      <c r="A406" s="321" t="s">
        <v>776</v>
      </c>
      <c r="B406" s="79" t="s">
        <v>1015</v>
      </c>
      <c r="C406" s="219" t="s">
        <v>1169</v>
      </c>
      <c r="D406" s="139" t="s">
        <v>42</v>
      </c>
      <c r="E406" s="144" t="s">
        <v>1588</v>
      </c>
    </row>
    <row r="407" spans="1:5" s="2" customFormat="1" ht="191.25" outlineLevel="1">
      <c r="A407" s="321" t="s">
        <v>777</v>
      </c>
      <c r="B407" s="79" t="s">
        <v>1022</v>
      </c>
      <c r="C407" s="219" t="s">
        <v>1171</v>
      </c>
      <c r="D407" s="139" t="s">
        <v>42</v>
      </c>
      <c r="E407" s="471" t="s">
        <v>1589</v>
      </c>
    </row>
    <row r="408" spans="1:5" s="2" customFormat="1" ht="89.25" outlineLevel="1">
      <c r="A408" s="325" t="s">
        <v>389</v>
      </c>
      <c r="B408" s="79" t="s">
        <v>1172</v>
      </c>
      <c r="C408" s="326" t="s">
        <v>1173</v>
      </c>
      <c r="D408" s="327" t="s">
        <v>42</v>
      </c>
      <c r="E408" s="589" t="s">
        <v>1590</v>
      </c>
    </row>
    <row r="409" spans="1:5" s="2" customFormat="1" ht="76.5" outlineLevel="1">
      <c r="A409" s="62" t="s">
        <v>391</v>
      </c>
      <c r="B409" s="79" t="s">
        <v>1174</v>
      </c>
      <c r="C409" s="326" t="s">
        <v>1175</v>
      </c>
      <c r="D409" s="327" t="s">
        <v>42</v>
      </c>
      <c r="E409" s="590"/>
    </row>
    <row r="410" spans="1:5" s="2" customFormat="1" ht="89.25" outlineLevel="1">
      <c r="A410" s="325" t="s">
        <v>392</v>
      </c>
      <c r="B410" s="79" t="s">
        <v>375</v>
      </c>
      <c r="C410" s="219" t="s">
        <v>1591</v>
      </c>
      <c r="D410" s="139" t="s">
        <v>59</v>
      </c>
      <c r="E410" s="144" t="s">
        <v>1592</v>
      </c>
    </row>
    <row r="411" spans="1:5" s="2" customFormat="1" ht="102" outlineLevel="1">
      <c r="A411" s="62" t="s">
        <v>431</v>
      </c>
      <c r="B411" s="79" t="s">
        <v>1176</v>
      </c>
      <c r="C411" s="219" t="s">
        <v>352</v>
      </c>
      <c r="D411" s="139" t="s">
        <v>353</v>
      </c>
      <c r="E411" s="144" t="s">
        <v>1593</v>
      </c>
    </row>
    <row r="412" spans="1:5" s="2" customFormat="1" ht="102" outlineLevel="1">
      <c r="A412" s="325" t="s">
        <v>432</v>
      </c>
      <c r="B412" s="79" t="s">
        <v>1177</v>
      </c>
      <c r="C412" s="219" t="s">
        <v>698</v>
      </c>
      <c r="D412" s="287" t="s">
        <v>59</v>
      </c>
      <c r="E412" s="540" t="s">
        <v>1594</v>
      </c>
    </row>
    <row r="413" spans="1:5" s="2" customFormat="1" ht="89.25" outlineLevel="1">
      <c r="A413" s="62" t="s">
        <v>433</v>
      </c>
      <c r="B413" s="79" t="s">
        <v>1178</v>
      </c>
      <c r="C413" s="219" t="s">
        <v>697</v>
      </c>
      <c r="D413" s="287" t="s">
        <v>59</v>
      </c>
      <c r="E413" s="541"/>
    </row>
    <row r="414" spans="1:5" s="2" customFormat="1" ht="89.25" outlineLevel="1">
      <c r="A414" s="325" t="s">
        <v>434</v>
      </c>
      <c r="B414" s="79" t="s">
        <v>1179</v>
      </c>
      <c r="C414" s="219" t="s">
        <v>378</v>
      </c>
      <c r="D414" s="139" t="s">
        <v>59</v>
      </c>
      <c r="E414" s="591"/>
    </row>
    <row r="415" spans="1:5" s="2" customFormat="1" ht="76.5" outlineLevel="1">
      <c r="A415" s="62" t="s">
        <v>435</v>
      </c>
      <c r="B415" s="147" t="s">
        <v>60</v>
      </c>
      <c r="C415" s="147" t="s">
        <v>61</v>
      </c>
      <c r="D415" s="185" t="s">
        <v>42</v>
      </c>
      <c r="E415" s="147" t="s">
        <v>1595</v>
      </c>
    </row>
    <row r="416" spans="1:5" s="2" customFormat="1" ht="89.25" outlineLevel="1">
      <c r="A416" s="325" t="s">
        <v>436</v>
      </c>
      <c r="B416" s="79" t="s">
        <v>385</v>
      </c>
      <c r="C416" s="219" t="s">
        <v>1350</v>
      </c>
      <c r="D416" s="139" t="s">
        <v>42</v>
      </c>
      <c r="E416" s="144" t="s">
        <v>1596</v>
      </c>
    </row>
    <row r="417" spans="1:5" s="2" customFormat="1" ht="127.5" outlineLevel="1">
      <c r="A417" s="62" t="s">
        <v>437</v>
      </c>
      <c r="B417" s="79" t="s">
        <v>192</v>
      </c>
      <c r="C417" s="219" t="s">
        <v>380</v>
      </c>
      <c r="D417" s="139" t="s">
        <v>42</v>
      </c>
      <c r="E417" s="144" t="s">
        <v>1597</v>
      </c>
    </row>
    <row r="418" spans="1:5" s="2" customFormat="1" ht="204" outlineLevel="1">
      <c r="A418" s="325" t="s">
        <v>438</v>
      </c>
      <c r="B418" s="79" t="s">
        <v>382</v>
      </c>
      <c r="C418" s="219" t="s">
        <v>383</v>
      </c>
      <c r="D418" s="139" t="s">
        <v>42</v>
      </c>
      <c r="E418" s="144" t="s">
        <v>1598</v>
      </c>
    </row>
    <row r="419" spans="1:5" s="2" customFormat="1" ht="127.5" outlineLevel="1">
      <c r="A419" s="62" t="s">
        <v>439</v>
      </c>
      <c r="B419" s="79" t="s">
        <v>368</v>
      </c>
      <c r="C419" s="326" t="s">
        <v>1180</v>
      </c>
      <c r="D419" s="139" t="s">
        <v>57</v>
      </c>
      <c r="E419" s="144" t="s">
        <v>1599</v>
      </c>
    </row>
    <row r="420" spans="1:5" s="2" customFormat="1" ht="102" outlineLevel="1">
      <c r="A420" s="325" t="s">
        <v>440</v>
      </c>
      <c r="B420" s="79" t="s">
        <v>1182</v>
      </c>
      <c r="C420" s="219" t="s">
        <v>1183</v>
      </c>
      <c r="D420" s="139" t="s">
        <v>42</v>
      </c>
      <c r="E420" s="144" t="s">
        <v>1600</v>
      </c>
    </row>
    <row r="421" spans="1:5" s="2" customFormat="1" ht="102" outlineLevel="1">
      <c r="A421" s="62" t="s">
        <v>441</v>
      </c>
      <c r="B421" s="79" t="s">
        <v>1181</v>
      </c>
      <c r="C421" s="219" t="s">
        <v>1184</v>
      </c>
      <c r="D421" s="139" t="s">
        <v>42</v>
      </c>
      <c r="E421" s="144" t="s">
        <v>1601</v>
      </c>
    </row>
    <row r="422" spans="1:5" s="2" customFormat="1" ht="15.75" outlineLevel="1">
      <c r="A422" s="214" t="s">
        <v>442</v>
      </c>
      <c r="B422" s="328" t="s">
        <v>659</v>
      </c>
      <c r="C422" s="329"/>
      <c r="D422" s="114"/>
      <c r="E422" s="492"/>
    </row>
    <row r="423" spans="1:5" s="2" customFormat="1" ht="165.75" outlineLevel="1">
      <c r="A423" s="321" t="s">
        <v>732</v>
      </c>
      <c r="B423" s="79" t="s">
        <v>662</v>
      </c>
      <c r="C423" s="56" t="s">
        <v>1046</v>
      </c>
      <c r="D423" s="139" t="s">
        <v>661</v>
      </c>
      <c r="E423" s="144" t="s">
        <v>1602</v>
      </c>
    </row>
    <row r="424" spans="1:5" s="2" customFormat="1" ht="102" outlineLevel="1">
      <c r="A424" s="330" t="s">
        <v>733</v>
      </c>
      <c r="B424" s="79" t="s">
        <v>660</v>
      </c>
      <c r="C424" s="56" t="s">
        <v>1603</v>
      </c>
      <c r="D424" s="139" t="s">
        <v>661</v>
      </c>
      <c r="E424" s="144" t="s">
        <v>1604</v>
      </c>
    </row>
    <row r="425" spans="1:5" s="2" customFormat="1" ht="89.25" outlineLevel="1">
      <c r="A425" s="321" t="s">
        <v>737</v>
      </c>
      <c r="B425" s="147" t="s">
        <v>1025</v>
      </c>
      <c r="C425" s="147" t="s">
        <v>1186</v>
      </c>
      <c r="D425" s="185" t="s">
        <v>42</v>
      </c>
      <c r="E425" s="63" t="s">
        <v>1609</v>
      </c>
    </row>
    <row r="426" spans="1:5" s="2" customFormat="1" ht="140.25" outlineLevel="1">
      <c r="A426" s="321" t="s">
        <v>738</v>
      </c>
      <c r="B426" s="79" t="s">
        <v>734</v>
      </c>
      <c r="C426" s="56" t="s">
        <v>1605</v>
      </c>
      <c r="D426" s="331" t="s">
        <v>752</v>
      </c>
      <c r="E426" s="144" t="s">
        <v>1608</v>
      </c>
    </row>
    <row r="427" spans="1:5" s="2" customFormat="1" ht="51" outlineLevel="1">
      <c r="A427" s="330" t="s">
        <v>739</v>
      </c>
      <c r="B427" s="79" t="s">
        <v>735</v>
      </c>
      <c r="C427" s="56" t="s">
        <v>1188</v>
      </c>
      <c r="D427" s="331" t="s">
        <v>57</v>
      </c>
      <c r="E427" s="144" t="s">
        <v>1606</v>
      </c>
    </row>
    <row r="428" spans="1:5" s="2" customFormat="1" ht="102" outlineLevel="1">
      <c r="A428" s="321" t="s">
        <v>915</v>
      </c>
      <c r="B428" s="79" t="s">
        <v>736</v>
      </c>
      <c r="C428" s="56" t="s">
        <v>1189</v>
      </c>
      <c r="D428" s="331" t="s">
        <v>57</v>
      </c>
      <c r="E428" s="144" t="s">
        <v>1607</v>
      </c>
    </row>
    <row r="429" spans="1:5" s="2" customFormat="1" ht="51" outlineLevel="1">
      <c r="A429" s="321" t="s">
        <v>915</v>
      </c>
      <c r="B429" s="79" t="s">
        <v>935</v>
      </c>
      <c r="C429" s="56" t="s">
        <v>1190</v>
      </c>
      <c r="D429" s="331" t="s">
        <v>696</v>
      </c>
      <c r="E429" s="489" t="s">
        <v>1610</v>
      </c>
    </row>
    <row r="430" spans="1:5" s="2" customFormat="1" ht="114.75" outlineLevel="1">
      <c r="A430" s="321" t="s">
        <v>443</v>
      </c>
      <c r="B430" s="79" t="s">
        <v>1611</v>
      </c>
      <c r="C430" s="56" t="s">
        <v>1620</v>
      </c>
      <c r="D430" s="331" t="s">
        <v>750</v>
      </c>
      <c r="E430" s="144" t="s">
        <v>1619</v>
      </c>
    </row>
    <row r="431" spans="1:5" s="2" customFormat="1" ht="102" outlineLevel="1">
      <c r="A431" s="321" t="s">
        <v>444</v>
      </c>
      <c r="B431" s="79" t="s">
        <v>1612</v>
      </c>
      <c r="C431" s="56" t="s">
        <v>1617</v>
      </c>
      <c r="D431" s="331" t="s">
        <v>750</v>
      </c>
      <c r="E431" s="144" t="s">
        <v>1618</v>
      </c>
    </row>
    <row r="432" spans="1:5" s="2" customFormat="1" ht="140.25" outlineLevel="1">
      <c r="A432" s="62" t="s">
        <v>445</v>
      </c>
      <c r="B432" s="79" t="s">
        <v>1615</v>
      </c>
      <c r="C432" s="56" t="s">
        <v>1621</v>
      </c>
      <c r="D432" s="331" t="s">
        <v>750</v>
      </c>
      <c r="E432" s="144" t="s">
        <v>1622</v>
      </c>
    </row>
    <row r="433" spans="1:5" s="2" customFormat="1" ht="140.25" outlineLevel="1">
      <c r="A433" s="62" t="s">
        <v>679</v>
      </c>
      <c r="B433" s="79" t="s">
        <v>1616</v>
      </c>
      <c r="C433" s="56" t="s">
        <v>1623</v>
      </c>
      <c r="D433" s="331" t="s">
        <v>750</v>
      </c>
      <c r="E433" s="144" t="s">
        <v>1624</v>
      </c>
    </row>
    <row r="434" spans="1:5" s="2" customFormat="1" ht="38.25" outlineLevel="1">
      <c r="A434" s="62" t="s">
        <v>680</v>
      </c>
      <c r="B434" s="79" t="s">
        <v>740</v>
      </c>
      <c r="C434" s="56" t="s">
        <v>1195</v>
      </c>
      <c r="D434" s="185" t="s">
        <v>751</v>
      </c>
      <c r="E434" s="144" t="s">
        <v>1625</v>
      </c>
    </row>
    <row r="435" spans="1:5" s="2" customFormat="1" ht="18.600000000000001" customHeight="1" outlineLevel="1">
      <c r="A435" s="214" t="s">
        <v>446</v>
      </c>
      <c r="B435" s="309" t="s">
        <v>925</v>
      </c>
      <c r="C435" s="332" t="s">
        <v>927</v>
      </c>
      <c r="D435" s="333"/>
      <c r="E435" s="493"/>
    </row>
    <row r="436" spans="1:5" s="2" customFormat="1" ht="102" outlineLevel="1">
      <c r="A436" s="62" t="s">
        <v>928</v>
      </c>
      <c r="B436" s="268" t="s">
        <v>1198</v>
      </c>
      <c r="C436" s="219" t="s">
        <v>1196</v>
      </c>
      <c r="D436" s="218" t="s">
        <v>881</v>
      </c>
      <c r="E436" s="574" t="s">
        <v>1628</v>
      </c>
    </row>
    <row r="437" spans="1:5" s="2" customFormat="1" ht="102" outlineLevel="1">
      <c r="A437" s="62" t="s">
        <v>929</v>
      </c>
      <c r="B437" s="268" t="s">
        <v>1199</v>
      </c>
      <c r="C437" s="147" t="s">
        <v>1197</v>
      </c>
      <c r="D437" s="218" t="s">
        <v>881</v>
      </c>
      <c r="E437" s="592"/>
    </row>
    <row r="438" spans="1:5" s="2" customFormat="1" ht="140.25" outlineLevel="1">
      <c r="A438" s="62" t="s">
        <v>930</v>
      </c>
      <c r="B438" s="268" t="s">
        <v>887</v>
      </c>
      <c r="C438" s="147" t="s">
        <v>888</v>
      </c>
      <c r="D438" s="218" t="s">
        <v>881</v>
      </c>
      <c r="E438" s="491" t="s">
        <v>1627</v>
      </c>
    </row>
    <row r="439" spans="1:5" s="2" customFormat="1" ht="102" outlineLevel="1">
      <c r="A439" s="62" t="s">
        <v>931</v>
      </c>
      <c r="B439" s="79" t="s">
        <v>880</v>
      </c>
      <c r="C439" s="326" t="s">
        <v>1351</v>
      </c>
      <c r="D439" s="218" t="s">
        <v>879</v>
      </c>
      <c r="E439" s="483" t="s">
        <v>1630</v>
      </c>
    </row>
    <row r="440" spans="1:5" s="2" customFormat="1" ht="63.75" outlineLevel="1">
      <c r="A440" s="62" t="s">
        <v>952</v>
      </c>
      <c r="B440" s="79" t="s">
        <v>1629</v>
      </c>
      <c r="C440" s="326" t="s">
        <v>955</v>
      </c>
      <c r="D440" s="218" t="s">
        <v>923</v>
      </c>
      <c r="E440" s="483" t="s">
        <v>1631</v>
      </c>
    </row>
    <row r="441" spans="1:5" s="2" customFormat="1" ht="76.5" outlineLevel="1">
      <c r="A441" s="62" t="s">
        <v>447</v>
      </c>
      <c r="B441" s="79" t="s">
        <v>387</v>
      </c>
      <c r="C441" s="219" t="s">
        <v>1200</v>
      </c>
      <c r="D441" s="139" t="s">
        <v>42</v>
      </c>
      <c r="E441" s="142" t="s">
        <v>1626</v>
      </c>
    </row>
    <row r="442" spans="1:5" s="2" customFormat="1" ht="38.25" outlineLevel="1">
      <c r="A442" s="62" t="s">
        <v>448</v>
      </c>
      <c r="B442" s="79" t="s">
        <v>872</v>
      </c>
      <c r="C442" s="219" t="s">
        <v>1352</v>
      </c>
      <c r="D442" s="139" t="s">
        <v>42</v>
      </c>
      <c r="E442" s="142" t="s">
        <v>1632</v>
      </c>
    </row>
    <row r="443" spans="1:5" s="2" customFormat="1" ht="127.5" outlineLevel="1">
      <c r="A443" s="62" t="s">
        <v>449</v>
      </c>
      <c r="B443" s="79" t="s">
        <v>883</v>
      </c>
      <c r="C443" s="219" t="s">
        <v>1201</v>
      </c>
      <c r="D443" s="139" t="s">
        <v>42</v>
      </c>
      <c r="E443" s="142" t="s">
        <v>1633</v>
      </c>
    </row>
    <row r="444" spans="1:5" s="2" customFormat="1" ht="78.599999999999994" customHeight="1" outlineLevel="1">
      <c r="A444" s="62" t="s">
        <v>450</v>
      </c>
      <c r="B444" s="79" t="s">
        <v>1202</v>
      </c>
      <c r="C444" s="219" t="s">
        <v>1634</v>
      </c>
      <c r="D444" s="139" t="s">
        <v>42</v>
      </c>
      <c r="E444" s="556" t="s">
        <v>1636</v>
      </c>
    </row>
    <row r="445" spans="1:5" s="2" customFormat="1" ht="66" customHeight="1" outlineLevel="1">
      <c r="A445" s="62" t="s">
        <v>451</v>
      </c>
      <c r="B445" s="79" t="s">
        <v>1203</v>
      </c>
      <c r="C445" s="219" t="s">
        <v>1635</v>
      </c>
      <c r="D445" s="139" t="s">
        <v>42</v>
      </c>
      <c r="E445" s="593"/>
    </row>
    <row r="446" spans="1:5" s="2" customFormat="1" ht="114.75" outlineLevel="1">
      <c r="A446" s="62" t="s">
        <v>932</v>
      </c>
      <c r="B446" s="220" t="s">
        <v>1353</v>
      </c>
      <c r="C446" s="147" t="s">
        <v>1354</v>
      </c>
      <c r="D446" s="185" t="s">
        <v>42</v>
      </c>
      <c r="E446" s="483" t="s">
        <v>1637</v>
      </c>
    </row>
    <row r="447" spans="1:5" s="2" customFormat="1" ht="191.25" outlineLevel="1">
      <c r="A447" s="62" t="s">
        <v>933</v>
      </c>
      <c r="B447" s="220" t="s">
        <v>1011</v>
      </c>
      <c r="C447" s="147" t="s">
        <v>1204</v>
      </c>
      <c r="D447" s="218" t="s">
        <v>884</v>
      </c>
      <c r="E447" s="574" t="s">
        <v>1638</v>
      </c>
    </row>
    <row r="448" spans="1:5" s="2" customFormat="1" ht="127.5" outlineLevel="1">
      <c r="A448" s="62" t="s">
        <v>1013</v>
      </c>
      <c r="B448" s="220" t="s">
        <v>1012</v>
      </c>
      <c r="C448" s="147" t="s">
        <v>1014</v>
      </c>
      <c r="D448" s="218" t="s">
        <v>884</v>
      </c>
      <c r="E448" s="575"/>
    </row>
    <row r="449" spans="1:5" s="2" customFormat="1" ht="153" outlineLevel="1">
      <c r="A449" s="62" t="s">
        <v>632</v>
      </c>
      <c r="B449" s="220" t="s">
        <v>1206</v>
      </c>
      <c r="C449" s="219" t="s">
        <v>1205</v>
      </c>
      <c r="D449" s="287" t="s">
        <v>42</v>
      </c>
      <c r="E449" s="489" t="s">
        <v>1639</v>
      </c>
    </row>
    <row r="450" spans="1:5" s="2" customFormat="1" ht="140.25" outlineLevel="1">
      <c r="A450" s="62" t="s">
        <v>452</v>
      </c>
      <c r="B450" s="220" t="s">
        <v>1207</v>
      </c>
      <c r="C450" s="219" t="s">
        <v>1208</v>
      </c>
      <c r="D450" s="287" t="s">
        <v>42</v>
      </c>
      <c r="E450" s="489" t="s">
        <v>1640</v>
      </c>
    </row>
    <row r="451" spans="1:5" s="2" customFormat="1" ht="178.5" outlineLevel="1">
      <c r="A451" s="62" t="s">
        <v>724</v>
      </c>
      <c r="B451" s="220" t="s">
        <v>1209</v>
      </c>
      <c r="C451" s="56" t="s">
        <v>1210</v>
      </c>
      <c r="D451" s="218" t="s">
        <v>696</v>
      </c>
      <c r="E451" s="483" t="s">
        <v>1641</v>
      </c>
    </row>
    <row r="452" spans="1:5" s="2" customFormat="1" ht="216.75" outlineLevel="1">
      <c r="A452" s="62" t="s">
        <v>453</v>
      </c>
      <c r="B452" s="147" t="s">
        <v>1211</v>
      </c>
      <c r="C452" s="56" t="s">
        <v>1212</v>
      </c>
      <c r="D452" s="185" t="s">
        <v>42</v>
      </c>
      <c r="E452" s="476" t="s">
        <v>1642</v>
      </c>
    </row>
    <row r="453" spans="1:5" s="2" customFormat="1" ht="114.75" outlineLevel="1">
      <c r="A453" s="62" t="s">
        <v>454</v>
      </c>
      <c r="B453" s="79" t="s">
        <v>1213</v>
      </c>
      <c r="C453" s="326" t="s">
        <v>1214</v>
      </c>
      <c r="D453" s="185" t="s">
        <v>41</v>
      </c>
      <c r="E453" s="489" t="s">
        <v>1643</v>
      </c>
    </row>
    <row r="454" spans="1:5" s="2" customFormat="1" ht="114.75" outlineLevel="1">
      <c r="A454" s="62" t="s">
        <v>455</v>
      </c>
      <c r="B454" s="79" t="s">
        <v>1215</v>
      </c>
      <c r="C454" s="326" t="s">
        <v>1214</v>
      </c>
      <c r="D454" s="185" t="s">
        <v>41</v>
      </c>
      <c r="E454" s="489" t="s">
        <v>1644</v>
      </c>
    </row>
    <row r="455" spans="1:5" s="2" customFormat="1" ht="255" outlineLevel="1">
      <c r="A455" s="62" t="s">
        <v>940</v>
      </c>
      <c r="B455" s="56" t="s">
        <v>1216</v>
      </c>
      <c r="C455" s="56" t="s">
        <v>1028</v>
      </c>
      <c r="D455" s="185" t="s">
        <v>953</v>
      </c>
      <c r="E455" s="489" t="s">
        <v>1645</v>
      </c>
    </row>
    <row r="456" spans="1:5" s="2" customFormat="1" ht="77.45" customHeight="1" outlineLevel="1">
      <c r="A456" s="62" t="s">
        <v>942</v>
      </c>
      <c r="B456" s="79" t="s">
        <v>1217</v>
      </c>
      <c r="C456" s="326" t="s">
        <v>949</v>
      </c>
      <c r="D456" s="218" t="s">
        <v>1</v>
      </c>
      <c r="E456" s="576" t="s">
        <v>1647</v>
      </c>
    </row>
    <row r="457" spans="1:5" s="2" customFormat="1" ht="64.900000000000006" customHeight="1" outlineLevel="1">
      <c r="A457" s="62" t="s">
        <v>943</v>
      </c>
      <c r="B457" s="79" t="s">
        <v>1218</v>
      </c>
      <c r="C457" s="326" t="s">
        <v>949</v>
      </c>
      <c r="D457" s="218" t="s">
        <v>1</v>
      </c>
      <c r="E457" s="577"/>
    </row>
    <row r="458" spans="1:5" s="2" customFormat="1" ht="63.75" outlineLevel="1">
      <c r="A458" s="62" t="s">
        <v>944</v>
      </c>
      <c r="B458" s="79" t="s">
        <v>1646</v>
      </c>
      <c r="C458" s="326" t="s">
        <v>946</v>
      </c>
      <c r="D458" s="218" t="s">
        <v>1</v>
      </c>
      <c r="E458" s="483" t="s">
        <v>1648</v>
      </c>
    </row>
    <row r="459" spans="1:5" s="2" customFormat="1" ht="127.5" outlineLevel="1">
      <c r="A459" s="62" t="s">
        <v>941</v>
      </c>
      <c r="B459" s="79" t="s">
        <v>1220</v>
      </c>
      <c r="C459" s="326" t="s">
        <v>945</v>
      </c>
      <c r="D459" s="185" t="s">
        <v>246</v>
      </c>
      <c r="E459" s="576" t="s">
        <v>1649</v>
      </c>
    </row>
    <row r="460" spans="1:5" s="2" customFormat="1" ht="127.5" outlineLevel="1">
      <c r="A460" s="62" t="s">
        <v>950</v>
      </c>
      <c r="B460" s="79" t="s">
        <v>1219</v>
      </c>
      <c r="C460" s="326" t="s">
        <v>945</v>
      </c>
      <c r="D460" s="185" t="s">
        <v>246</v>
      </c>
      <c r="E460" s="600"/>
    </row>
    <row r="461" spans="1:5" s="2" customFormat="1" ht="127.5" outlineLevel="1">
      <c r="A461" s="62" t="s">
        <v>951</v>
      </c>
      <c r="B461" s="79" t="s">
        <v>1221</v>
      </c>
      <c r="C461" s="326" t="s">
        <v>945</v>
      </c>
      <c r="D461" s="185" t="s">
        <v>246</v>
      </c>
      <c r="E461" s="600"/>
    </row>
    <row r="462" spans="1:5" s="2" customFormat="1" ht="127.5" outlineLevel="1">
      <c r="A462" s="62" t="s">
        <v>954</v>
      </c>
      <c r="B462" s="79" t="s">
        <v>1222</v>
      </c>
      <c r="C462" s="326" t="s">
        <v>945</v>
      </c>
      <c r="D462" s="185" t="s">
        <v>246</v>
      </c>
      <c r="E462" s="577"/>
    </row>
    <row r="463" spans="1:5" s="2" customFormat="1" ht="165.75" outlineLevel="1">
      <c r="A463" s="62" t="s">
        <v>456</v>
      </c>
      <c r="B463" s="79" t="s">
        <v>1223</v>
      </c>
      <c r="C463" s="219" t="s">
        <v>924</v>
      </c>
      <c r="D463" s="139" t="s">
        <v>59</v>
      </c>
      <c r="E463" s="489" t="s">
        <v>1650</v>
      </c>
    </row>
    <row r="464" spans="1:5" s="2" customFormat="1" ht="76.5" outlineLevel="1">
      <c r="A464" s="62" t="s">
        <v>457</v>
      </c>
      <c r="B464" s="56" t="s">
        <v>1009</v>
      </c>
      <c r="C464" s="219" t="s">
        <v>1224</v>
      </c>
      <c r="D464" s="139" t="s">
        <v>316</v>
      </c>
      <c r="E464" s="144" t="s">
        <v>1651</v>
      </c>
    </row>
    <row r="465" spans="1:5" s="2" customFormat="1" ht="63.75" outlineLevel="1">
      <c r="A465" s="62" t="s">
        <v>458</v>
      </c>
      <c r="B465" s="79" t="s">
        <v>631</v>
      </c>
      <c r="C465" s="219" t="s">
        <v>1225</v>
      </c>
      <c r="D465" s="139" t="s">
        <v>42</v>
      </c>
      <c r="E465" s="144" t="s">
        <v>1652</v>
      </c>
    </row>
    <row r="466" spans="1:5" s="2" customFormat="1" ht="89.25" outlineLevel="1">
      <c r="A466" s="62" t="s">
        <v>459</v>
      </c>
      <c r="B466" s="147" t="s">
        <v>1029</v>
      </c>
      <c r="C466" s="147" t="s">
        <v>1226</v>
      </c>
      <c r="D466" s="185" t="s">
        <v>42</v>
      </c>
      <c r="E466" s="147" t="s">
        <v>1653</v>
      </c>
    </row>
    <row r="467" spans="1:5" s="2" customFormat="1" ht="191.25" outlineLevel="1">
      <c r="A467" s="62" t="s">
        <v>460</v>
      </c>
      <c r="B467" s="147" t="s">
        <v>64</v>
      </c>
      <c r="C467" s="147" t="s">
        <v>70</v>
      </c>
      <c r="D467" s="185" t="s">
        <v>55</v>
      </c>
      <c r="E467" s="476" t="s">
        <v>1654</v>
      </c>
    </row>
    <row r="468" spans="1:5" s="2" customFormat="1" ht="40.15" customHeight="1" outlineLevel="1">
      <c r="A468" s="526" t="s">
        <v>1427</v>
      </c>
      <c r="B468" s="526"/>
      <c r="C468" s="527"/>
      <c r="D468" s="254"/>
      <c r="E468" s="481"/>
    </row>
    <row r="469" spans="1:5" s="2" customFormat="1" ht="89.25" outlineLevel="1">
      <c r="A469" s="62" t="s">
        <v>461</v>
      </c>
      <c r="B469" s="147" t="s">
        <v>238</v>
      </c>
      <c r="C469" s="147" t="s">
        <v>239</v>
      </c>
      <c r="D469" s="291" t="s">
        <v>240</v>
      </c>
      <c r="E469" s="488" t="s">
        <v>1655</v>
      </c>
    </row>
    <row r="470" spans="1:5" s="2" customFormat="1" ht="89.25" outlineLevel="1">
      <c r="A470" s="62" t="s">
        <v>462</v>
      </c>
      <c r="B470" s="147" t="s">
        <v>241</v>
      </c>
      <c r="C470" s="147" t="s">
        <v>242</v>
      </c>
      <c r="D470" s="291" t="s">
        <v>243</v>
      </c>
      <c r="E470" s="488" t="s">
        <v>1656</v>
      </c>
    </row>
    <row r="471" spans="1:5" s="2" customFormat="1" ht="89.25" outlineLevel="1">
      <c r="A471" s="62" t="s">
        <v>463</v>
      </c>
      <c r="B471" s="147" t="s">
        <v>244</v>
      </c>
      <c r="C471" s="147" t="s">
        <v>245</v>
      </c>
      <c r="D471" s="291" t="s">
        <v>246</v>
      </c>
      <c r="E471" s="488" t="s">
        <v>1657</v>
      </c>
    </row>
    <row r="472" spans="1:5" s="2" customFormat="1" ht="102" outlineLevel="1">
      <c r="A472" s="62" t="s">
        <v>574</v>
      </c>
      <c r="B472" s="147" t="s">
        <v>247</v>
      </c>
      <c r="C472" s="147" t="s">
        <v>248</v>
      </c>
      <c r="D472" s="291" t="s">
        <v>1</v>
      </c>
      <c r="E472" s="488" t="s">
        <v>1658</v>
      </c>
    </row>
    <row r="473" spans="1:5" s="2" customFormat="1" ht="229.5" outlineLevel="1">
      <c r="A473" s="62" t="s">
        <v>575</v>
      </c>
      <c r="B473" s="147" t="s">
        <v>23</v>
      </c>
      <c r="C473" s="147" t="s">
        <v>1659</v>
      </c>
      <c r="D473" s="185" t="s">
        <v>54</v>
      </c>
      <c r="E473" s="147" t="s">
        <v>1660</v>
      </c>
    </row>
    <row r="474" spans="1:5" s="2" customFormat="1" ht="114.75" outlineLevel="1">
      <c r="A474" s="62" t="s">
        <v>576</v>
      </c>
      <c r="B474" s="147" t="s">
        <v>194</v>
      </c>
      <c r="C474" s="147" t="s">
        <v>1200</v>
      </c>
      <c r="D474" s="291" t="s">
        <v>1</v>
      </c>
      <c r="E474" s="488" t="s">
        <v>1661</v>
      </c>
    </row>
    <row r="475" spans="1:5" s="2" customFormat="1" ht="153" outlineLevel="1">
      <c r="A475" s="62" t="s">
        <v>577</v>
      </c>
      <c r="B475" s="147" t="s">
        <v>187</v>
      </c>
      <c r="C475" s="147" t="s">
        <v>1227</v>
      </c>
      <c r="D475" s="291" t="s">
        <v>1</v>
      </c>
      <c r="E475" s="488" t="s">
        <v>1662</v>
      </c>
    </row>
    <row r="476" spans="1:5" s="2" customFormat="1" ht="140.25" outlineLevel="1">
      <c r="A476" s="62" t="s">
        <v>578</v>
      </c>
      <c r="B476" s="147" t="s">
        <v>56</v>
      </c>
      <c r="C476" s="147" t="s">
        <v>159</v>
      </c>
      <c r="D476" s="185" t="s">
        <v>57</v>
      </c>
      <c r="E476" s="147" t="s">
        <v>1663</v>
      </c>
    </row>
    <row r="477" spans="1:5" s="2" customFormat="1" ht="114.75" outlineLevel="1">
      <c r="A477" s="62" t="s">
        <v>937</v>
      </c>
      <c r="B477" s="147" t="s">
        <v>1228</v>
      </c>
      <c r="C477" s="147" t="s">
        <v>957</v>
      </c>
      <c r="D477" s="291" t="s">
        <v>1</v>
      </c>
      <c r="E477" s="205" t="s">
        <v>1664</v>
      </c>
    </row>
    <row r="478" spans="1:5" s="2" customFormat="1" ht="51" outlineLevel="1">
      <c r="A478" s="62" t="s">
        <v>579</v>
      </c>
      <c r="B478" s="189" t="s">
        <v>1229</v>
      </c>
      <c r="C478" s="147" t="s">
        <v>1047</v>
      </c>
      <c r="D478" s="139" t="s">
        <v>725</v>
      </c>
      <c r="E478" s="584" t="s">
        <v>1665</v>
      </c>
    </row>
    <row r="479" spans="1:5" s="2" customFormat="1" ht="51" outlineLevel="1">
      <c r="A479" s="62" t="s">
        <v>580</v>
      </c>
      <c r="B479" s="189" t="s">
        <v>1230</v>
      </c>
      <c r="C479" s="147" t="s">
        <v>1048</v>
      </c>
      <c r="D479" s="139" t="s">
        <v>726</v>
      </c>
      <c r="E479" s="585"/>
    </row>
    <row r="480" spans="1:5" s="2" customFormat="1" ht="63.75" outlineLevel="1">
      <c r="A480" s="62" t="s">
        <v>581</v>
      </c>
      <c r="B480" s="56" t="s">
        <v>1231</v>
      </c>
      <c r="C480" s="147" t="s">
        <v>328</v>
      </c>
      <c r="D480" s="139" t="s">
        <v>59</v>
      </c>
      <c r="E480" s="585"/>
    </row>
    <row r="481" spans="1:5" s="2" customFormat="1" ht="63.75" outlineLevel="1">
      <c r="A481" s="62" t="s">
        <v>582</v>
      </c>
      <c r="B481" s="56" t="s">
        <v>1232</v>
      </c>
      <c r="C481" s="147" t="s">
        <v>330</v>
      </c>
      <c r="D481" s="139" t="s">
        <v>59</v>
      </c>
      <c r="E481" s="585"/>
    </row>
    <row r="482" spans="1:5" s="2" customFormat="1" ht="63.75" outlineLevel="1">
      <c r="A482" s="62" t="s">
        <v>583</v>
      </c>
      <c r="B482" s="56" t="s">
        <v>1233</v>
      </c>
      <c r="C482" s="147" t="s">
        <v>332</v>
      </c>
      <c r="D482" s="139" t="s">
        <v>59</v>
      </c>
      <c r="E482" s="585"/>
    </row>
    <row r="483" spans="1:5" s="2" customFormat="1" ht="63.75" outlineLevel="1">
      <c r="A483" s="62" t="s">
        <v>584</v>
      </c>
      <c r="B483" s="56" t="s">
        <v>1234</v>
      </c>
      <c r="C483" s="219" t="s">
        <v>334</v>
      </c>
      <c r="D483" s="139" t="s">
        <v>59</v>
      </c>
      <c r="E483" s="585"/>
    </row>
    <row r="484" spans="1:5" s="2" customFormat="1" ht="63.75" outlineLevel="1">
      <c r="A484" s="62" t="s">
        <v>585</v>
      </c>
      <c r="B484" s="56" t="s">
        <v>1235</v>
      </c>
      <c r="C484" s="219" t="s">
        <v>336</v>
      </c>
      <c r="D484" s="139" t="s">
        <v>59</v>
      </c>
      <c r="E484" s="586"/>
    </row>
    <row r="485" spans="1:5" s="2" customFormat="1" ht="51" outlineLevel="1">
      <c r="A485" s="62" t="s">
        <v>586</v>
      </c>
      <c r="B485" s="147" t="s">
        <v>1236</v>
      </c>
      <c r="C485" s="147" t="s">
        <v>67</v>
      </c>
      <c r="D485" s="185" t="s">
        <v>59</v>
      </c>
      <c r="E485" s="597" t="s">
        <v>1666</v>
      </c>
    </row>
    <row r="486" spans="1:5" s="2" customFormat="1" ht="102" outlineLevel="1">
      <c r="A486" s="62" t="s">
        <v>741</v>
      </c>
      <c r="B486" s="56" t="s">
        <v>1238</v>
      </c>
      <c r="C486" s="56" t="s">
        <v>1240</v>
      </c>
      <c r="D486" s="218" t="s">
        <v>59</v>
      </c>
      <c r="E486" s="601"/>
    </row>
    <row r="487" spans="1:5" s="2" customFormat="1" ht="51" outlineLevel="1">
      <c r="A487" s="62" t="s">
        <v>742</v>
      </c>
      <c r="B487" s="147" t="s">
        <v>1241</v>
      </c>
      <c r="C487" s="147" t="s">
        <v>67</v>
      </c>
      <c r="D487" s="185" t="s">
        <v>59</v>
      </c>
      <c r="E487" s="601"/>
    </row>
    <row r="488" spans="1:5" s="2" customFormat="1" ht="38.25" outlineLevel="1">
      <c r="A488" s="62" t="s">
        <v>743</v>
      </c>
      <c r="B488" s="147" t="s">
        <v>1242</v>
      </c>
      <c r="C488" s="147" t="s">
        <v>67</v>
      </c>
      <c r="D488" s="185" t="s">
        <v>59</v>
      </c>
      <c r="E488" s="598"/>
    </row>
    <row r="489" spans="1:5" s="2" customFormat="1" ht="15.75" outlineLevel="1">
      <c r="A489" s="225"/>
      <c r="B489" s="150"/>
      <c r="C489" s="150"/>
      <c r="D489" s="270"/>
      <c r="E489" s="494"/>
    </row>
    <row r="490" spans="1:5" s="2" customFormat="1" ht="15.75" outlineLevel="1">
      <c r="A490" s="233" t="s">
        <v>1381</v>
      </c>
      <c r="B490" s="158"/>
      <c r="C490" s="158"/>
      <c r="D490" s="273"/>
      <c r="E490" s="495"/>
    </row>
    <row r="491" spans="1:5" s="2" customFormat="1" ht="15.75" outlineLevel="1">
      <c r="A491" s="241" t="s">
        <v>1411</v>
      </c>
      <c r="B491" s="158"/>
      <c r="C491" s="158"/>
      <c r="D491" s="273"/>
      <c r="E491" s="495"/>
    </row>
    <row r="492" spans="1:5" s="2" customFormat="1" ht="15.75" outlineLevel="1">
      <c r="A492" s="241" t="s">
        <v>1412</v>
      </c>
      <c r="B492" s="158"/>
      <c r="C492" s="158"/>
      <c r="D492" s="273"/>
      <c r="E492" s="495"/>
    </row>
    <row r="493" spans="1:5" s="2" customFormat="1" ht="15.75" outlineLevel="1">
      <c r="A493" s="241" t="s">
        <v>1751</v>
      </c>
      <c r="B493" s="158"/>
      <c r="C493" s="158"/>
      <c r="D493" s="273"/>
      <c r="E493" s="495"/>
    </row>
    <row r="494" spans="1:5" s="2" customFormat="1" ht="15.75" outlineLevel="1">
      <c r="A494" s="349"/>
      <c r="B494" s="167"/>
      <c r="C494" s="167"/>
      <c r="D494" s="277"/>
      <c r="E494" s="496"/>
    </row>
    <row r="495" spans="1:5" s="2" customFormat="1" ht="40.15" customHeight="1">
      <c r="A495" s="70">
        <v>7</v>
      </c>
      <c r="B495" s="524" t="s">
        <v>1243</v>
      </c>
      <c r="C495" s="524"/>
      <c r="D495" s="32"/>
      <c r="E495" s="354"/>
    </row>
    <row r="496" spans="1:5" s="2" customFormat="1" ht="40.15" customHeight="1" outlineLevel="1">
      <c r="A496" s="528" t="s">
        <v>1428</v>
      </c>
      <c r="B496" s="528"/>
      <c r="C496" s="529"/>
      <c r="D496" s="32"/>
      <c r="E496" s="497"/>
    </row>
    <row r="497" spans="1:5" s="2" customFormat="1" ht="242.25" outlineLevel="1">
      <c r="A497" s="215" t="s">
        <v>464</v>
      </c>
      <c r="B497" s="220" t="s">
        <v>133</v>
      </c>
      <c r="C497" s="220" t="s">
        <v>1244</v>
      </c>
      <c r="D497" s="185" t="s">
        <v>134</v>
      </c>
      <c r="E497" s="476" t="s">
        <v>1667</v>
      </c>
    </row>
    <row r="498" spans="1:5" s="2" customFormat="1" ht="102" outlineLevel="1">
      <c r="A498" s="215" t="s">
        <v>465</v>
      </c>
      <c r="B498" s="220" t="s">
        <v>77</v>
      </c>
      <c r="C498" s="220" t="s">
        <v>130</v>
      </c>
      <c r="D498" s="185" t="s">
        <v>43</v>
      </c>
      <c r="E498" s="476" t="s">
        <v>1668</v>
      </c>
    </row>
    <row r="499" spans="1:5" s="2" customFormat="1" ht="102" outlineLevel="1">
      <c r="A499" s="215" t="s">
        <v>466</v>
      </c>
      <c r="B499" s="220" t="s">
        <v>135</v>
      </c>
      <c r="C499" s="220" t="s">
        <v>136</v>
      </c>
      <c r="D499" s="185" t="s">
        <v>134</v>
      </c>
      <c r="E499" s="476" t="s">
        <v>1669</v>
      </c>
    </row>
    <row r="500" spans="1:5" s="2" customFormat="1" ht="140.25" outlineLevel="1">
      <c r="A500" s="215" t="s">
        <v>467</v>
      </c>
      <c r="B500" s="220" t="s">
        <v>1245</v>
      </c>
      <c r="C500" s="220" t="s">
        <v>137</v>
      </c>
      <c r="D500" s="185" t="s">
        <v>134</v>
      </c>
      <c r="E500" s="476" t="s">
        <v>1671</v>
      </c>
    </row>
    <row r="501" spans="1:5" s="2" customFormat="1" ht="89.25" outlineLevel="1">
      <c r="A501" s="215" t="s">
        <v>468</v>
      </c>
      <c r="B501" s="220" t="s">
        <v>1363</v>
      </c>
      <c r="C501" s="220" t="s">
        <v>1049</v>
      </c>
      <c r="D501" s="185" t="s">
        <v>134</v>
      </c>
      <c r="E501" s="476" t="s">
        <v>1670</v>
      </c>
    </row>
    <row r="502" spans="1:5" s="2" customFormat="1" ht="89.25" outlineLevel="1">
      <c r="A502" s="215" t="s">
        <v>469</v>
      </c>
      <c r="B502" s="220" t="s">
        <v>1246</v>
      </c>
      <c r="C502" s="220" t="s">
        <v>138</v>
      </c>
      <c r="D502" s="185" t="s">
        <v>134</v>
      </c>
      <c r="E502" s="209" t="s">
        <v>1672</v>
      </c>
    </row>
    <row r="503" spans="1:5" s="2" customFormat="1" ht="153" outlineLevel="1">
      <c r="A503" s="215" t="s">
        <v>470</v>
      </c>
      <c r="B503" s="220" t="s">
        <v>139</v>
      </c>
      <c r="C503" s="220" t="s">
        <v>140</v>
      </c>
      <c r="D503" s="185" t="s">
        <v>134</v>
      </c>
      <c r="E503" s="209" t="s">
        <v>1673</v>
      </c>
    </row>
    <row r="504" spans="1:5" s="2" customFormat="1" ht="153" outlineLevel="1">
      <c r="A504" s="215" t="s">
        <v>471</v>
      </c>
      <c r="B504" s="220" t="s">
        <v>44</v>
      </c>
      <c r="C504" s="220" t="s">
        <v>613</v>
      </c>
      <c r="D504" s="185" t="s">
        <v>43</v>
      </c>
      <c r="E504" s="209" t="s">
        <v>1674</v>
      </c>
    </row>
    <row r="505" spans="1:5" s="2" customFormat="1" ht="40.15" customHeight="1" outlineLevel="1">
      <c r="A505" s="357" t="s">
        <v>1429</v>
      </c>
      <c r="B505" s="358"/>
      <c r="C505" s="359"/>
      <c r="D505" s="251"/>
      <c r="E505" s="498"/>
    </row>
    <row r="506" spans="1:5" s="2" customFormat="1" ht="40.15" customHeight="1" outlineLevel="1">
      <c r="A506" s="363" t="s">
        <v>1364</v>
      </c>
      <c r="B506" s="364"/>
      <c r="C506" s="365"/>
      <c r="D506" s="365"/>
      <c r="E506" s="499"/>
    </row>
    <row r="507" spans="1:5" s="2" customFormat="1" ht="63.75" outlineLevel="1">
      <c r="A507" s="215" t="s">
        <v>472</v>
      </c>
      <c r="B507" s="147" t="s">
        <v>1247</v>
      </c>
      <c r="C507" s="147" t="s">
        <v>1249</v>
      </c>
      <c r="D507" s="185" t="s">
        <v>42</v>
      </c>
      <c r="E507" s="602" t="s">
        <v>1675</v>
      </c>
    </row>
    <row r="508" spans="1:5" s="2" customFormat="1" ht="114.75" outlineLevel="1">
      <c r="A508" s="215" t="s">
        <v>473</v>
      </c>
      <c r="B508" s="147" t="s">
        <v>1248</v>
      </c>
      <c r="C508" s="147" t="s">
        <v>1250</v>
      </c>
      <c r="D508" s="185" t="s">
        <v>42</v>
      </c>
      <c r="E508" s="603"/>
    </row>
    <row r="509" spans="1:5" s="2" customFormat="1" ht="63.75" outlineLevel="1">
      <c r="A509" s="215" t="s">
        <v>474</v>
      </c>
      <c r="B509" s="147" t="s">
        <v>1251</v>
      </c>
      <c r="C509" s="147" t="s">
        <v>1253</v>
      </c>
      <c r="D509" s="185" t="s">
        <v>42</v>
      </c>
      <c r="E509" s="603"/>
    </row>
    <row r="510" spans="1:5" s="2" customFormat="1" ht="114.75" outlineLevel="1">
      <c r="A510" s="215" t="s">
        <v>475</v>
      </c>
      <c r="B510" s="147" t="s">
        <v>1252</v>
      </c>
      <c r="C510" s="147" t="s">
        <v>1254</v>
      </c>
      <c r="D510" s="185" t="s">
        <v>42</v>
      </c>
      <c r="E510" s="604"/>
    </row>
    <row r="511" spans="1:5" s="2" customFormat="1" ht="51" outlineLevel="1">
      <c r="A511" s="215" t="s">
        <v>476</v>
      </c>
      <c r="B511" s="147" t="s">
        <v>131</v>
      </c>
      <c r="C511" s="147" t="s">
        <v>143</v>
      </c>
      <c r="D511" s="185" t="s">
        <v>46</v>
      </c>
      <c r="E511" s="147" t="s">
        <v>1676</v>
      </c>
    </row>
    <row r="512" spans="1:5" s="2" customFormat="1" ht="40.15" customHeight="1" outlineLevel="1">
      <c r="A512" s="363" t="s">
        <v>1440</v>
      </c>
      <c r="B512" s="364"/>
      <c r="C512" s="365"/>
      <c r="D512" s="365"/>
      <c r="E512" s="499"/>
    </row>
    <row r="513" spans="1:5" s="2" customFormat="1" ht="293.25" outlineLevel="1">
      <c r="A513" s="215" t="s">
        <v>477</v>
      </c>
      <c r="B513" s="147" t="s">
        <v>45</v>
      </c>
      <c r="C513" s="147" t="s">
        <v>1255</v>
      </c>
      <c r="D513" s="185" t="s">
        <v>134</v>
      </c>
      <c r="E513" s="147" t="s">
        <v>1677</v>
      </c>
    </row>
    <row r="514" spans="1:5" s="2" customFormat="1" ht="140.25" outlineLevel="1">
      <c r="A514" s="215" t="s">
        <v>478</v>
      </c>
      <c r="B514" s="147" t="s">
        <v>1256</v>
      </c>
      <c r="C514" s="147" t="s">
        <v>1257</v>
      </c>
      <c r="D514" s="185" t="s">
        <v>134</v>
      </c>
      <c r="E514" s="147" t="s">
        <v>1678</v>
      </c>
    </row>
    <row r="515" spans="1:5" s="2" customFormat="1" ht="40.15" customHeight="1" outlineLevel="1">
      <c r="A515" s="363" t="s">
        <v>1442</v>
      </c>
      <c r="B515" s="364"/>
      <c r="C515" s="365"/>
      <c r="D515" s="365"/>
      <c r="E515" s="499"/>
    </row>
    <row r="516" spans="1:5" s="2" customFormat="1" ht="51" outlineLevel="1">
      <c r="A516" s="216" t="s">
        <v>479</v>
      </c>
      <c r="B516" s="323" t="s">
        <v>8</v>
      </c>
      <c r="C516" s="257" t="s">
        <v>1258</v>
      </c>
      <c r="D516" s="323"/>
      <c r="E516" s="605" t="s">
        <v>1679</v>
      </c>
    </row>
    <row r="517" spans="1:5" s="2" customFormat="1" ht="25.5" outlineLevel="1">
      <c r="A517" s="215" t="s">
        <v>664</v>
      </c>
      <c r="B517" s="213" t="s">
        <v>1259</v>
      </c>
      <c r="C517" s="371"/>
      <c r="D517" s="185" t="s">
        <v>7</v>
      </c>
      <c r="E517" s="606"/>
    </row>
    <row r="518" spans="1:5" s="2" customFormat="1" ht="25.5" outlineLevel="1">
      <c r="A518" s="215" t="s">
        <v>665</v>
      </c>
      <c r="B518" s="213" t="s">
        <v>1260</v>
      </c>
      <c r="C518" s="205"/>
      <c r="D518" s="185" t="s">
        <v>7</v>
      </c>
      <c r="E518" s="607"/>
    </row>
    <row r="519" spans="1:5" s="2" customFormat="1" ht="204" outlineLevel="1">
      <c r="A519" s="215" t="s">
        <v>480</v>
      </c>
      <c r="B519" s="205" t="s">
        <v>160</v>
      </c>
      <c r="C519" s="147" t="s">
        <v>614</v>
      </c>
      <c r="D519" s="185" t="s">
        <v>41</v>
      </c>
      <c r="E519" s="147" t="s">
        <v>1680</v>
      </c>
    </row>
    <row r="520" spans="1:5" s="2" customFormat="1" ht="40.15" customHeight="1" outlineLevel="1">
      <c r="A520" s="363" t="s">
        <v>1441</v>
      </c>
      <c r="B520" s="373"/>
      <c r="C520" s="374"/>
      <c r="D520" s="374"/>
      <c r="E520" s="500"/>
    </row>
    <row r="521" spans="1:5" s="2" customFormat="1" ht="51" outlineLevel="1">
      <c r="A521" s="216" t="s">
        <v>481</v>
      </c>
      <c r="B521" s="257" t="s">
        <v>147</v>
      </c>
      <c r="C521" s="257" t="s">
        <v>148</v>
      </c>
      <c r="D521" s="192"/>
      <c r="E521" s="608" t="s">
        <v>1740</v>
      </c>
    </row>
    <row r="522" spans="1:5" s="2" customFormat="1" ht="25.5" outlineLevel="1">
      <c r="A522" s="215" t="s">
        <v>666</v>
      </c>
      <c r="B522" s="381" t="s">
        <v>1261</v>
      </c>
      <c r="C522" s="220"/>
      <c r="D522" s="185" t="s">
        <v>7</v>
      </c>
      <c r="E522" s="609"/>
    </row>
    <row r="523" spans="1:5" s="2" customFormat="1" ht="25.5" outlineLevel="1">
      <c r="A523" s="215" t="s">
        <v>667</v>
      </c>
      <c r="B523" s="381" t="s">
        <v>1262</v>
      </c>
      <c r="C523" s="220"/>
      <c r="D523" s="185" t="s">
        <v>7</v>
      </c>
      <c r="E523" s="609"/>
    </row>
    <row r="524" spans="1:5" s="2" customFormat="1" ht="25.5" outlineLevel="1">
      <c r="A524" s="215" t="s">
        <v>668</v>
      </c>
      <c r="B524" s="381" t="s">
        <v>1263</v>
      </c>
      <c r="C524" s="220"/>
      <c r="D524" s="185" t="s">
        <v>7</v>
      </c>
      <c r="E524" s="609"/>
    </row>
    <row r="525" spans="1:5" s="2" customFormat="1" ht="25.5" outlineLevel="1">
      <c r="A525" s="215" t="s">
        <v>669</v>
      </c>
      <c r="B525" s="381" t="s">
        <v>1264</v>
      </c>
      <c r="C525" s="220"/>
      <c r="D525" s="185" t="s">
        <v>7</v>
      </c>
      <c r="E525" s="610"/>
    </row>
    <row r="526" spans="1:5" s="2" customFormat="1" ht="102" outlineLevel="1">
      <c r="A526" s="215" t="s">
        <v>482</v>
      </c>
      <c r="B526" s="220" t="s">
        <v>150</v>
      </c>
      <c r="C526" s="220" t="s">
        <v>764</v>
      </c>
      <c r="D526" s="185" t="s">
        <v>7</v>
      </c>
      <c r="E526" s="147" t="s">
        <v>1681</v>
      </c>
    </row>
    <row r="527" spans="1:5" s="2" customFormat="1" ht="40.15" customHeight="1" outlineLevel="1">
      <c r="A527" s="357" t="s">
        <v>1430</v>
      </c>
      <c r="B527" s="382"/>
      <c r="C527" s="383"/>
      <c r="D527" s="384"/>
      <c r="E527" s="501"/>
    </row>
    <row r="528" spans="1:5" s="2" customFormat="1" ht="191.25" outlineLevel="1">
      <c r="A528" s="215" t="s">
        <v>483</v>
      </c>
      <c r="B528" s="220" t="s">
        <v>763</v>
      </c>
      <c r="C528" s="220"/>
      <c r="D528" s="185" t="s">
        <v>42</v>
      </c>
      <c r="E528" s="147" t="s">
        <v>1682</v>
      </c>
    </row>
    <row r="529" spans="1:5" s="2" customFormat="1" ht="38.25" outlineLevel="1">
      <c r="A529" s="216" t="s">
        <v>484</v>
      </c>
      <c r="B529" s="257" t="s">
        <v>152</v>
      </c>
      <c r="C529" s="257" t="s">
        <v>155</v>
      </c>
      <c r="D529" s="192"/>
      <c r="E529" s="533" t="s">
        <v>1683</v>
      </c>
    </row>
    <row r="530" spans="1:5" s="2" customFormat="1" ht="15.75" outlineLevel="1">
      <c r="A530" s="215" t="s">
        <v>670</v>
      </c>
      <c r="B530" s="381" t="s">
        <v>1265</v>
      </c>
      <c r="C530" s="220"/>
      <c r="D530" s="185" t="s">
        <v>156</v>
      </c>
      <c r="E530" s="534"/>
    </row>
    <row r="531" spans="1:5" s="2" customFormat="1" ht="15.75" outlineLevel="1">
      <c r="A531" s="215" t="s">
        <v>671</v>
      </c>
      <c r="B531" s="381" t="s">
        <v>1266</v>
      </c>
      <c r="C531" s="220"/>
      <c r="D531" s="185" t="s">
        <v>156</v>
      </c>
      <c r="E531" s="534"/>
    </row>
    <row r="532" spans="1:5" s="2" customFormat="1" ht="15.75" outlineLevel="1">
      <c r="A532" s="215" t="s">
        <v>672</v>
      </c>
      <c r="B532" s="381" t="s">
        <v>1267</v>
      </c>
      <c r="C532" s="220"/>
      <c r="D532" s="185" t="s">
        <v>156</v>
      </c>
      <c r="E532" s="535"/>
    </row>
    <row r="533" spans="1:5" s="2" customFormat="1" ht="51" outlineLevel="1">
      <c r="A533" s="215" t="s">
        <v>485</v>
      </c>
      <c r="B533" s="220" t="s">
        <v>154</v>
      </c>
      <c r="C533" s="220" t="s">
        <v>157</v>
      </c>
      <c r="D533" s="185" t="s">
        <v>156</v>
      </c>
      <c r="E533" s="476" t="s">
        <v>1684</v>
      </c>
    </row>
    <row r="534" spans="1:5" s="2" customFormat="1" ht="40.15" customHeight="1">
      <c r="A534" s="103">
        <v>8</v>
      </c>
      <c r="B534" s="525" t="s">
        <v>921</v>
      </c>
      <c r="C534" s="524"/>
      <c r="D534" s="389"/>
      <c r="E534" s="502"/>
    </row>
    <row r="535" spans="1:5" s="2" customFormat="1" ht="40.15" customHeight="1" outlineLevel="1">
      <c r="A535" s="528" t="s">
        <v>1431</v>
      </c>
      <c r="B535" s="528"/>
      <c r="C535" s="529"/>
      <c r="D535" s="251"/>
      <c r="E535" s="503"/>
    </row>
    <row r="536" spans="1:5" s="2" customFormat="1" ht="63.75" outlineLevel="1">
      <c r="A536" s="215" t="s">
        <v>486</v>
      </c>
      <c r="B536" s="147" t="s">
        <v>164</v>
      </c>
      <c r="C536" s="147" t="s">
        <v>165</v>
      </c>
      <c r="D536" s="185" t="s">
        <v>166</v>
      </c>
      <c r="E536" s="476" t="s">
        <v>1685</v>
      </c>
    </row>
    <row r="537" spans="1:5" s="2" customFormat="1" ht="51" outlineLevel="1">
      <c r="A537" s="215" t="s">
        <v>487</v>
      </c>
      <c r="B537" s="147" t="s">
        <v>167</v>
      </c>
      <c r="C537" s="147" t="s">
        <v>168</v>
      </c>
      <c r="D537" s="185" t="s">
        <v>169</v>
      </c>
      <c r="E537" s="476" t="s">
        <v>1686</v>
      </c>
    </row>
    <row r="538" spans="1:5" s="2" customFormat="1" ht="40.15" customHeight="1" outlineLevel="1">
      <c r="A538" s="394" t="s">
        <v>1432</v>
      </c>
      <c r="B538" s="359"/>
      <c r="C538" s="395"/>
      <c r="D538" s="251"/>
      <c r="E538" s="498"/>
    </row>
    <row r="539" spans="1:5" s="2" customFormat="1" ht="40.15" customHeight="1" outlineLevel="1">
      <c r="A539" s="215" t="s">
        <v>591</v>
      </c>
      <c r="B539" s="147" t="s">
        <v>1268</v>
      </c>
      <c r="C539" s="147" t="s">
        <v>1271</v>
      </c>
      <c r="D539" s="185" t="s">
        <v>94</v>
      </c>
      <c r="E539" s="597" t="s">
        <v>1687</v>
      </c>
    </row>
    <row r="540" spans="1:5" s="2" customFormat="1" ht="39.6" customHeight="1" outlineLevel="1">
      <c r="A540" s="215" t="s">
        <v>592</v>
      </c>
      <c r="B540" s="147" t="s">
        <v>1269</v>
      </c>
      <c r="C540" s="147" t="s">
        <v>1271</v>
      </c>
      <c r="D540" s="185" t="s">
        <v>94</v>
      </c>
      <c r="E540" s="601"/>
    </row>
    <row r="541" spans="1:5" s="2" customFormat="1" ht="45.6" customHeight="1" outlineLevel="1">
      <c r="A541" s="215" t="s">
        <v>593</v>
      </c>
      <c r="B541" s="56" t="s">
        <v>1270</v>
      </c>
      <c r="C541" s="147" t="s">
        <v>1271</v>
      </c>
      <c r="D541" s="218" t="s">
        <v>94</v>
      </c>
      <c r="E541" s="598"/>
    </row>
    <row r="542" spans="1:5" s="2" customFormat="1" ht="89.25" outlineLevel="1">
      <c r="A542" s="215" t="s">
        <v>594</v>
      </c>
      <c r="B542" s="147" t="s">
        <v>170</v>
      </c>
      <c r="C542" s="147" t="s">
        <v>171</v>
      </c>
      <c r="D542" s="185" t="s">
        <v>94</v>
      </c>
      <c r="E542" s="476" t="s">
        <v>1688</v>
      </c>
    </row>
    <row r="543" spans="1:5" s="2" customFormat="1" ht="140.25" outlineLevel="1">
      <c r="A543" s="215" t="s">
        <v>595</v>
      </c>
      <c r="B543" s="147" t="s">
        <v>1274</v>
      </c>
      <c r="C543" s="147" t="s">
        <v>1272</v>
      </c>
      <c r="D543" s="185" t="s">
        <v>94</v>
      </c>
      <c r="E543" s="476" t="s">
        <v>1689</v>
      </c>
    </row>
    <row r="544" spans="1:5" s="2" customFormat="1" ht="51" outlineLevel="1">
      <c r="A544" s="215" t="s">
        <v>596</v>
      </c>
      <c r="B544" s="147" t="s">
        <v>1275</v>
      </c>
      <c r="C544" s="147" t="s">
        <v>1272</v>
      </c>
      <c r="D544" s="185" t="s">
        <v>94</v>
      </c>
      <c r="E544" s="476" t="s">
        <v>1690</v>
      </c>
    </row>
    <row r="545" spans="1:5" s="2" customFormat="1" ht="89.25" outlineLevel="1">
      <c r="A545" s="215" t="s">
        <v>597</v>
      </c>
      <c r="B545" s="147" t="s">
        <v>172</v>
      </c>
      <c r="C545" s="147" t="s">
        <v>173</v>
      </c>
      <c r="D545" s="185" t="s">
        <v>94</v>
      </c>
      <c r="E545" s="476" t="s">
        <v>1691</v>
      </c>
    </row>
    <row r="546" spans="1:5" s="2" customFormat="1" ht="72" customHeight="1" outlineLevel="1">
      <c r="A546" s="215" t="s">
        <v>598</v>
      </c>
      <c r="B546" s="147" t="s">
        <v>1276</v>
      </c>
      <c r="C546" s="147" t="s">
        <v>1273</v>
      </c>
      <c r="D546" s="185" t="s">
        <v>94</v>
      </c>
      <c r="E546" s="597" t="s">
        <v>1692</v>
      </c>
    </row>
    <row r="547" spans="1:5" s="2" customFormat="1" ht="69.599999999999994" customHeight="1" outlineLevel="1">
      <c r="A547" s="215" t="s">
        <v>702</v>
      </c>
      <c r="B547" s="147" t="s">
        <v>1277</v>
      </c>
      <c r="C547" s="147" t="s">
        <v>174</v>
      </c>
      <c r="D547" s="185" t="s">
        <v>94</v>
      </c>
      <c r="E547" s="598"/>
    </row>
    <row r="548" spans="1:5" s="2" customFormat="1" ht="40.15" customHeight="1" outlineLevel="1">
      <c r="A548" s="396" t="s">
        <v>1433</v>
      </c>
      <c r="B548" s="397"/>
      <c r="C548" s="397"/>
      <c r="D548" s="389"/>
      <c r="E548" s="504" t="s">
        <v>1693</v>
      </c>
    </row>
    <row r="549" spans="1:5" s="2" customFormat="1" ht="191.25" outlineLevel="1">
      <c r="A549" s="400" t="s">
        <v>599</v>
      </c>
      <c r="B549" s="401" t="s">
        <v>1278</v>
      </c>
      <c r="C549" s="401" t="s">
        <v>682</v>
      </c>
      <c r="D549" s="218" t="s">
        <v>94</v>
      </c>
      <c r="E549" s="476" t="s">
        <v>1694</v>
      </c>
    </row>
    <row r="550" spans="1:5" s="2" customFormat="1" ht="114.75" outlineLevel="1">
      <c r="A550" s="400" t="s">
        <v>600</v>
      </c>
      <c r="B550" s="401" t="s">
        <v>175</v>
      </c>
      <c r="C550" s="401" t="s">
        <v>173</v>
      </c>
      <c r="D550" s="218" t="s">
        <v>94</v>
      </c>
      <c r="E550" s="476" t="s">
        <v>1695</v>
      </c>
    </row>
    <row r="551" spans="1:5" s="2" customFormat="1" ht="51" outlineLevel="1">
      <c r="A551" s="400" t="s">
        <v>601</v>
      </c>
      <c r="B551" s="401" t="s">
        <v>1279</v>
      </c>
      <c r="C551" s="401" t="s">
        <v>683</v>
      </c>
      <c r="D551" s="218" t="s">
        <v>94</v>
      </c>
      <c r="E551" s="597" t="s">
        <v>1696</v>
      </c>
    </row>
    <row r="552" spans="1:5" s="2" customFormat="1" ht="51" outlineLevel="1">
      <c r="A552" s="400" t="s">
        <v>602</v>
      </c>
      <c r="B552" s="401" t="s">
        <v>1280</v>
      </c>
      <c r="C552" s="401" t="s">
        <v>684</v>
      </c>
      <c r="D552" s="218" t="s">
        <v>94</v>
      </c>
      <c r="E552" s="611"/>
    </row>
    <row r="553" spans="1:5" s="2" customFormat="1" ht="51" outlineLevel="1">
      <c r="A553" s="400" t="s">
        <v>603</v>
      </c>
      <c r="B553" s="56" t="s">
        <v>1281</v>
      </c>
      <c r="C553" s="401" t="s">
        <v>683</v>
      </c>
      <c r="D553" s="218" t="s">
        <v>94</v>
      </c>
      <c r="E553" s="611"/>
    </row>
    <row r="554" spans="1:5" s="2" customFormat="1" ht="51" outlineLevel="1">
      <c r="A554" s="400" t="s">
        <v>604</v>
      </c>
      <c r="B554" s="56" t="s">
        <v>1282</v>
      </c>
      <c r="C554" s="401" t="s">
        <v>683</v>
      </c>
      <c r="D554" s="218" t="s">
        <v>94</v>
      </c>
      <c r="E554" s="611"/>
    </row>
    <row r="555" spans="1:5" s="2" customFormat="1" ht="51" outlineLevel="1">
      <c r="A555" s="400" t="s">
        <v>605</v>
      </c>
      <c r="B555" s="56" t="s">
        <v>1283</v>
      </c>
      <c r="C555" s="401" t="s">
        <v>683</v>
      </c>
      <c r="D555" s="218" t="s">
        <v>94</v>
      </c>
      <c r="E555" s="611"/>
    </row>
    <row r="556" spans="1:5" s="2" customFormat="1" ht="51" outlineLevel="1">
      <c r="A556" s="400" t="s">
        <v>606</v>
      </c>
      <c r="B556" s="56" t="s">
        <v>1284</v>
      </c>
      <c r="C556" s="401" t="s">
        <v>683</v>
      </c>
      <c r="D556" s="218" t="s">
        <v>94</v>
      </c>
      <c r="E556" s="611"/>
    </row>
    <row r="557" spans="1:5" s="2" customFormat="1" ht="51" outlineLevel="1">
      <c r="A557" s="400" t="s">
        <v>607</v>
      </c>
      <c r="B557" s="56" t="s">
        <v>1285</v>
      </c>
      <c r="C557" s="401" t="s">
        <v>683</v>
      </c>
      <c r="D557" s="218" t="s">
        <v>94</v>
      </c>
      <c r="E557" s="612"/>
    </row>
    <row r="558" spans="1:5" s="2" customFormat="1" ht="114.75" outlineLevel="1">
      <c r="A558" s="400" t="s">
        <v>703</v>
      </c>
      <c r="B558" s="401" t="s">
        <v>176</v>
      </c>
      <c r="C558" s="401" t="s">
        <v>173</v>
      </c>
      <c r="D558" s="218" t="s">
        <v>94</v>
      </c>
      <c r="E558" s="476" t="s">
        <v>1697</v>
      </c>
    </row>
    <row r="559" spans="1:5" s="2" customFormat="1" ht="114.75" outlineLevel="1">
      <c r="A559" s="400" t="s">
        <v>704</v>
      </c>
      <c r="B559" s="401" t="s">
        <v>177</v>
      </c>
      <c r="C559" s="401" t="s">
        <v>178</v>
      </c>
      <c r="D559" s="218" t="s">
        <v>179</v>
      </c>
      <c r="E559" s="476" t="s">
        <v>1698</v>
      </c>
    </row>
    <row r="560" spans="1:5" s="2" customFormat="1" ht="178.5" outlineLevel="1">
      <c r="A560" s="400" t="s">
        <v>705</v>
      </c>
      <c r="B560" s="401" t="s">
        <v>1286</v>
      </c>
      <c r="C560" s="401" t="s">
        <v>681</v>
      </c>
      <c r="D560" s="218" t="s">
        <v>180</v>
      </c>
      <c r="E560" s="476" t="s">
        <v>1699</v>
      </c>
    </row>
    <row r="561" spans="1:5" s="2" customFormat="1" ht="216.75" outlineLevel="1">
      <c r="A561" s="400" t="s">
        <v>706</v>
      </c>
      <c r="B561" s="401" t="s">
        <v>1287</v>
      </c>
      <c r="C561" s="401" t="s">
        <v>685</v>
      </c>
      <c r="D561" s="218" t="s">
        <v>180</v>
      </c>
      <c r="E561" s="476" t="s">
        <v>1700</v>
      </c>
    </row>
    <row r="562" spans="1:5" s="2" customFormat="1" ht="204" outlineLevel="1">
      <c r="A562" s="400" t="s">
        <v>707</v>
      </c>
      <c r="B562" s="404" t="s">
        <v>1288</v>
      </c>
      <c r="C562" s="404" t="s">
        <v>686</v>
      </c>
      <c r="D562" s="218" t="s">
        <v>180</v>
      </c>
      <c r="E562" s="476" t="s">
        <v>1701</v>
      </c>
    </row>
    <row r="563" spans="1:5" s="2" customFormat="1" ht="40.15" customHeight="1" outlineLevel="1">
      <c r="A563" s="405" t="s">
        <v>1434</v>
      </c>
      <c r="B563" s="406"/>
      <c r="C563" s="397"/>
      <c r="D563" s="389"/>
      <c r="E563" s="505"/>
    </row>
    <row r="564" spans="1:5" s="2" customFormat="1" ht="76.900000000000006" customHeight="1" outlineLevel="1">
      <c r="A564" s="518" t="s">
        <v>608</v>
      </c>
      <c r="B564" s="219" t="s">
        <v>1289</v>
      </c>
      <c r="C564" s="56" t="s">
        <v>1293</v>
      </c>
      <c r="D564" s="185" t="s">
        <v>1</v>
      </c>
      <c r="E564" s="597" t="s">
        <v>1702</v>
      </c>
    </row>
    <row r="565" spans="1:5" s="2" customFormat="1" ht="82.15" customHeight="1" outlineLevel="1">
      <c r="A565" s="518"/>
      <c r="B565" s="219" t="s">
        <v>1290</v>
      </c>
      <c r="C565" s="56" t="s">
        <v>649</v>
      </c>
      <c r="D565" s="185" t="s">
        <v>1</v>
      </c>
      <c r="E565" s="601"/>
    </row>
    <row r="566" spans="1:5" s="2" customFormat="1" ht="72" customHeight="1" outlineLevel="1">
      <c r="A566" s="518"/>
      <c r="B566" s="219" t="s">
        <v>1291</v>
      </c>
      <c r="C566" s="56" t="s">
        <v>1292</v>
      </c>
      <c r="D566" s="185" t="s">
        <v>1</v>
      </c>
      <c r="E566" s="598"/>
    </row>
    <row r="567" spans="1:5" s="2" customFormat="1" ht="102" outlineLevel="1">
      <c r="A567" s="215" t="s">
        <v>609</v>
      </c>
      <c r="B567" s="219" t="s">
        <v>181</v>
      </c>
      <c r="C567" s="56" t="s">
        <v>182</v>
      </c>
      <c r="D567" s="185" t="s">
        <v>1</v>
      </c>
      <c r="E567" s="147" t="s">
        <v>1703</v>
      </c>
    </row>
    <row r="568" spans="1:5" s="2" customFormat="1" ht="51" outlineLevel="1">
      <c r="A568" s="215" t="s">
        <v>610</v>
      </c>
      <c r="B568" s="219" t="s">
        <v>183</v>
      </c>
      <c r="C568" s="56" t="s">
        <v>184</v>
      </c>
      <c r="D568" s="185" t="s">
        <v>1</v>
      </c>
      <c r="E568" s="476" t="s">
        <v>1704</v>
      </c>
    </row>
    <row r="569" spans="1:5" s="2" customFormat="1" ht="51" outlineLevel="1">
      <c r="A569" s="215" t="s">
        <v>611</v>
      </c>
      <c r="B569" s="219" t="s">
        <v>185</v>
      </c>
      <c r="C569" s="56" t="s">
        <v>186</v>
      </c>
      <c r="D569" s="185" t="s">
        <v>1</v>
      </c>
      <c r="E569" s="476" t="s">
        <v>1705</v>
      </c>
    </row>
    <row r="570" spans="1:5" s="2" customFormat="1" ht="40.15" customHeight="1" outlineLevel="1">
      <c r="A570" s="407" t="s">
        <v>1439</v>
      </c>
      <c r="B570" s="397"/>
      <c r="C570" s="397"/>
      <c r="D570" s="389"/>
      <c r="E570" s="502"/>
    </row>
    <row r="571" spans="1:5" s="2" customFormat="1" ht="38.25" outlineLevel="1">
      <c r="A571" s="215" t="s">
        <v>708</v>
      </c>
      <c r="B571" s="147" t="s">
        <v>187</v>
      </c>
      <c r="C571" s="147" t="s">
        <v>1294</v>
      </c>
      <c r="D571" s="185" t="s">
        <v>1</v>
      </c>
      <c r="E571" s="476" t="s">
        <v>1706</v>
      </c>
    </row>
    <row r="572" spans="1:5" s="2" customFormat="1" ht="25.5" outlineLevel="1">
      <c r="A572" s="215" t="s">
        <v>709</v>
      </c>
      <c r="B572" s="147" t="s">
        <v>1297</v>
      </c>
      <c r="C572" s="147" t="s">
        <v>1295</v>
      </c>
      <c r="D572" s="218" t="s">
        <v>1</v>
      </c>
      <c r="E572" s="530" t="s">
        <v>1707</v>
      </c>
    </row>
    <row r="573" spans="1:5" s="2" customFormat="1" ht="25.5" outlineLevel="1">
      <c r="A573" s="215" t="s">
        <v>710</v>
      </c>
      <c r="B573" s="147" t="s">
        <v>1298</v>
      </c>
      <c r="C573" s="147" t="s">
        <v>1296</v>
      </c>
      <c r="D573" s="218" t="s">
        <v>1</v>
      </c>
      <c r="E573" s="532"/>
    </row>
    <row r="574" spans="1:5" s="2" customFormat="1" ht="25.5" outlineLevel="1">
      <c r="A574" s="215" t="s">
        <v>489</v>
      </c>
      <c r="B574" s="147" t="s">
        <v>1299</v>
      </c>
      <c r="C574" s="147" t="s">
        <v>1300</v>
      </c>
      <c r="D574" s="218" t="s">
        <v>1</v>
      </c>
      <c r="E574" s="530" t="s">
        <v>1708</v>
      </c>
    </row>
    <row r="575" spans="1:5" s="2" customFormat="1" ht="25.5" outlineLevel="1">
      <c r="A575" s="215" t="s">
        <v>490</v>
      </c>
      <c r="B575" s="147" t="s">
        <v>1301</v>
      </c>
      <c r="C575" s="147" t="s">
        <v>1302</v>
      </c>
      <c r="D575" s="218" t="s">
        <v>1</v>
      </c>
      <c r="E575" s="532"/>
    </row>
    <row r="576" spans="1:5" s="2" customFormat="1" ht="184.15" customHeight="1" outlineLevel="1">
      <c r="A576" s="215" t="s">
        <v>491</v>
      </c>
      <c r="B576" s="147" t="s">
        <v>1303</v>
      </c>
      <c r="C576" s="147" t="s">
        <v>188</v>
      </c>
      <c r="D576" s="185" t="s">
        <v>1</v>
      </c>
      <c r="E576" s="597" t="s">
        <v>1709</v>
      </c>
    </row>
    <row r="577" spans="1:5" s="2" customFormat="1" ht="161.44999999999999" customHeight="1" outlineLevel="1">
      <c r="A577" s="215" t="s">
        <v>492</v>
      </c>
      <c r="B577" s="147" t="s">
        <v>1304</v>
      </c>
      <c r="C577" s="147" t="s">
        <v>699</v>
      </c>
      <c r="D577" s="218" t="s">
        <v>1</v>
      </c>
      <c r="E577" s="612"/>
    </row>
    <row r="578" spans="1:5" s="2" customFormat="1" ht="58.9" customHeight="1" outlineLevel="1">
      <c r="A578" s="518" t="s">
        <v>711</v>
      </c>
      <c r="B578" s="147" t="s">
        <v>1305</v>
      </c>
      <c r="C578" s="147" t="s">
        <v>1308</v>
      </c>
      <c r="D578" s="185" t="s">
        <v>1</v>
      </c>
      <c r="E578" s="597" t="s">
        <v>1710</v>
      </c>
    </row>
    <row r="579" spans="1:5" s="2" customFormat="1" ht="58.9" customHeight="1" outlineLevel="1">
      <c r="A579" s="518"/>
      <c r="B579" s="147" t="s">
        <v>1306</v>
      </c>
      <c r="C579" s="147" t="s">
        <v>648</v>
      </c>
      <c r="D579" s="185" t="s">
        <v>1</v>
      </c>
      <c r="E579" s="601"/>
    </row>
    <row r="580" spans="1:5" s="2" customFormat="1" ht="62.45" customHeight="1" outlineLevel="1">
      <c r="A580" s="518"/>
      <c r="B580" s="147" t="s">
        <v>1307</v>
      </c>
      <c r="C580" s="147" t="s">
        <v>189</v>
      </c>
      <c r="D580" s="185" t="s">
        <v>1</v>
      </c>
      <c r="E580" s="598"/>
    </row>
    <row r="581" spans="1:5" s="2" customFormat="1" ht="102" outlineLevel="1">
      <c r="A581" s="215" t="s">
        <v>712</v>
      </c>
      <c r="B581" s="147" t="s">
        <v>190</v>
      </c>
      <c r="C581" s="147" t="s">
        <v>191</v>
      </c>
      <c r="D581" s="185" t="s">
        <v>1</v>
      </c>
      <c r="E581" s="147" t="s">
        <v>1711</v>
      </c>
    </row>
    <row r="582" spans="1:5" s="2" customFormat="1" ht="127.5" outlineLevel="1">
      <c r="A582" s="215" t="s">
        <v>713</v>
      </c>
      <c r="B582" s="147" t="s">
        <v>192</v>
      </c>
      <c r="C582" s="147" t="s">
        <v>193</v>
      </c>
      <c r="D582" s="185" t="s">
        <v>1</v>
      </c>
      <c r="E582" s="476" t="s">
        <v>1712</v>
      </c>
    </row>
    <row r="583" spans="1:5" s="2" customFormat="1" ht="63.75" outlineLevel="1">
      <c r="A583" s="215" t="s">
        <v>714</v>
      </c>
      <c r="B583" s="147" t="s">
        <v>194</v>
      </c>
      <c r="C583" s="147" t="s">
        <v>195</v>
      </c>
      <c r="D583" s="185" t="s">
        <v>1</v>
      </c>
      <c r="E583" s="476" t="s">
        <v>1755</v>
      </c>
    </row>
    <row r="584" spans="1:5" s="2" customFormat="1" ht="51" outlineLevel="1">
      <c r="A584" s="215" t="s">
        <v>715</v>
      </c>
      <c r="B584" s="147" t="s">
        <v>196</v>
      </c>
      <c r="C584" s="147" t="s">
        <v>197</v>
      </c>
      <c r="D584" s="185" t="s">
        <v>1</v>
      </c>
      <c r="E584" s="476" t="s">
        <v>1713</v>
      </c>
    </row>
    <row r="585" spans="1:5" s="2" customFormat="1" ht="40.15" customHeight="1" outlineLevel="1">
      <c r="A585" s="394" t="s">
        <v>1435</v>
      </c>
      <c r="B585" s="406"/>
      <c r="C585" s="397"/>
      <c r="D585" s="251"/>
      <c r="E585" s="503" t="s">
        <v>1714</v>
      </c>
    </row>
    <row r="586" spans="1:5" s="2" customFormat="1" ht="50.45" customHeight="1" outlineLevel="1">
      <c r="A586" s="215" t="s">
        <v>493</v>
      </c>
      <c r="B586" s="147" t="s">
        <v>1310</v>
      </c>
      <c r="C586" s="147" t="s">
        <v>1312</v>
      </c>
      <c r="D586" s="185" t="s">
        <v>1</v>
      </c>
      <c r="E586" s="530" t="s">
        <v>1715</v>
      </c>
    </row>
    <row r="587" spans="1:5" s="2" customFormat="1" ht="42.6" customHeight="1" outlineLevel="1">
      <c r="A587" s="215" t="s">
        <v>494</v>
      </c>
      <c r="B587" s="147" t="s">
        <v>1311</v>
      </c>
      <c r="C587" s="147" t="s">
        <v>1313</v>
      </c>
      <c r="D587" s="185" t="s">
        <v>1</v>
      </c>
      <c r="E587" s="532"/>
    </row>
    <row r="588" spans="1:5" s="2" customFormat="1" ht="89.25" outlineLevel="1">
      <c r="A588" s="215" t="s">
        <v>488</v>
      </c>
      <c r="B588" s="147" t="s">
        <v>198</v>
      </c>
      <c r="C588" s="147" t="s">
        <v>199</v>
      </c>
      <c r="D588" s="185" t="s">
        <v>1716</v>
      </c>
      <c r="E588" s="476" t="s">
        <v>1717</v>
      </c>
    </row>
    <row r="589" spans="1:5" s="2" customFormat="1" ht="102" outlineLevel="1">
      <c r="A589" s="215" t="s">
        <v>495</v>
      </c>
      <c r="B589" s="147" t="s">
        <v>717</v>
      </c>
      <c r="C589" s="147" t="s">
        <v>716</v>
      </c>
      <c r="D589" s="185" t="s">
        <v>201</v>
      </c>
      <c r="E589" s="476" t="s">
        <v>1718</v>
      </c>
    </row>
    <row r="590" spans="1:5" s="2" customFormat="1" ht="76.5" outlineLevel="1">
      <c r="A590" s="215" t="s">
        <v>496</v>
      </c>
      <c r="B590" s="147" t="s">
        <v>202</v>
      </c>
      <c r="C590" s="147" t="s">
        <v>203</v>
      </c>
      <c r="D590" s="185" t="s">
        <v>1</v>
      </c>
      <c r="E590" s="476" t="s">
        <v>1719</v>
      </c>
    </row>
    <row r="591" spans="1:5" s="2" customFormat="1" ht="165.75" outlineLevel="1">
      <c r="A591" s="215" t="s">
        <v>497</v>
      </c>
      <c r="B591" s="147" t="s">
        <v>204</v>
      </c>
      <c r="C591" s="147" t="s">
        <v>1314</v>
      </c>
      <c r="D591" s="185" t="s">
        <v>1</v>
      </c>
      <c r="E591" s="476" t="s">
        <v>1720</v>
      </c>
    </row>
    <row r="592" spans="1:5" s="2" customFormat="1" ht="153" outlineLevel="1">
      <c r="A592" s="215" t="s">
        <v>498</v>
      </c>
      <c r="B592" s="147" t="s">
        <v>1315</v>
      </c>
      <c r="C592" s="147"/>
      <c r="D592" s="185" t="s">
        <v>1</v>
      </c>
      <c r="E592" s="476" t="s">
        <v>1721</v>
      </c>
    </row>
    <row r="593" spans="1:5" s="2" customFormat="1" ht="40.15" customHeight="1" outlineLevel="1">
      <c r="A593" s="405" t="s">
        <v>1436</v>
      </c>
      <c r="B593" s="406"/>
      <c r="C593" s="397"/>
      <c r="D593" s="251"/>
      <c r="E593" s="503"/>
    </row>
    <row r="594" spans="1:5" s="2" customFormat="1" ht="89.25" outlineLevel="1">
      <c r="A594" s="215" t="s">
        <v>499</v>
      </c>
      <c r="B594" s="147" t="s">
        <v>205</v>
      </c>
      <c r="C594" s="147" t="s">
        <v>1316</v>
      </c>
      <c r="D594" s="185" t="s">
        <v>206</v>
      </c>
      <c r="E594" s="476" t="s">
        <v>1722</v>
      </c>
    </row>
    <row r="595" spans="1:5" s="2" customFormat="1" ht="51" outlineLevel="1">
      <c r="A595" s="215" t="s">
        <v>500</v>
      </c>
      <c r="B595" s="147" t="s">
        <v>207</v>
      </c>
      <c r="C595" s="147" t="s">
        <v>1317</v>
      </c>
      <c r="D595" s="185" t="s">
        <v>513</v>
      </c>
      <c r="E595" s="476" t="s">
        <v>1723</v>
      </c>
    </row>
    <row r="596" spans="1:5" s="2" customFormat="1" ht="40.15" customHeight="1" outlineLevel="1">
      <c r="A596" s="405" t="s">
        <v>1437</v>
      </c>
      <c r="B596" s="406"/>
      <c r="C596" s="397"/>
      <c r="D596" s="251"/>
      <c r="E596" s="503"/>
    </row>
    <row r="597" spans="1:5" s="2" customFormat="1" ht="38.25" outlineLevel="1">
      <c r="A597" s="215" t="s">
        <v>501</v>
      </c>
      <c r="B597" s="147" t="s">
        <v>1318</v>
      </c>
      <c r="C597" s="147" t="s">
        <v>1319</v>
      </c>
      <c r="D597" s="185" t="s">
        <v>1</v>
      </c>
      <c r="E597" s="576" t="s">
        <v>1724</v>
      </c>
    </row>
    <row r="598" spans="1:5" s="2" customFormat="1" ht="38.25" outlineLevel="1">
      <c r="A598" s="215" t="s">
        <v>502</v>
      </c>
      <c r="B598" s="147" t="s">
        <v>1320</v>
      </c>
      <c r="C598" s="147" t="s">
        <v>1321</v>
      </c>
      <c r="D598" s="185" t="s">
        <v>1</v>
      </c>
      <c r="E598" s="600"/>
    </row>
    <row r="599" spans="1:5" s="2" customFormat="1" ht="38.25" outlineLevel="1">
      <c r="A599" s="215" t="s">
        <v>503</v>
      </c>
      <c r="B599" s="147" t="s">
        <v>1322</v>
      </c>
      <c r="C599" s="147" t="s">
        <v>1323</v>
      </c>
      <c r="D599" s="185" t="s">
        <v>1</v>
      </c>
      <c r="E599" s="577"/>
    </row>
    <row r="600" spans="1:5" s="2" customFormat="1" ht="63.75" outlineLevel="1">
      <c r="A600" s="215" t="s">
        <v>504</v>
      </c>
      <c r="B600" s="147" t="s">
        <v>1325</v>
      </c>
      <c r="C600" s="147" t="s">
        <v>208</v>
      </c>
      <c r="D600" s="185" t="s">
        <v>93</v>
      </c>
      <c r="E600" s="476" t="s">
        <v>1725</v>
      </c>
    </row>
    <row r="601" spans="1:5" s="2" customFormat="1" ht="114.75" outlineLevel="1">
      <c r="A601" s="215" t="s">
        <v>505</v>
      </c>
      <c r="B601" s="147" t="s">
        <v>209</v>
      </c>
      <c r="C601" s="147" t="s">
        <v>210</v>
      </c>
      <c r="D601" s="185" t="s">
        <v>93</v>
      </c>
      <c r="E601" s="476" t="s">
        <v>1726</v>
      </c>
    </row>
    <row r="602" spans="1:5" s="2" customFormat="1" ht="114.75" outlineLevel="1">
      <c r="A602" s="215" t="s">
        <v>506</v>
      </c>
      <c r="B602" s="147" t="s">
        <v>211</v>
      </c>
      <c r="C602" s="147" t="s">
        <v>212</v>
      </c>
      <c r="D602" s="185" t="s">
        <v>93</v>
      </c>
      <c r="E602" s="476" t="s">
        <v>1727</v>
      </c>
    </row>
    <row r="603" spans="1:5" s="2" customFormat="1" ht="153" outlineLevel="1">
      <c r="A603" s="215" t="s">
        <v>507</v>
      </c>
      <c r="B603" s="147" t="s">
        <v>213</v>
      </c>
      <c r="C603" s="147" t="s">
        <v>214</v>
      </c>
      <c r="D603" s="185" t="s">
        <v>93</v>
      </c>
      <c r="E603" s="476" t="s">
        <v>1728</v>
      </c>
    </row>
    <row r="604" spans="1:5" s="2" customFormat="1" ht="140.25" outlineLevel="1">
      <c r="A604" s="215" t="s">
        <v>508</v>
      </c>
      <c r="B604" s="147" t="s">
        <v>213</v>
      </c>
      <c r="C604" s="147" t="s">
        <v>215</v>
      </c>
      <c r="D604" s="185" t="s">
        <v>1</v>
      </c>
      <c r="E604" s="476" t="s">
        <v>1729</v>
      </c>
    </row>
    <row r="605" spans="1:5" s="2" customFormat="1" ht="140.25" outlineLevel="1">
      <c r="A605" s="215" t="s">
        <v>552</v>
      </c>
      <c r="B605" s="56" t="s">
        <v>516</v>
      </c>
      <c r="C605" s="56" t="s">
        <v>553</v>
      </c>
      <c r="D605" s="218" t="s">
        <v>93</v>
      </c>
      <c r="E605" s="476" t="s">
        <v>1730</v>
      </c>
    </row>
    <row r="606" spans="1:5" s="2" customFormat="1" ht="114.75" outlineLevel="1">
      <c r="A606" s="215" t="s">
        <v>640</v>
      </c>
      <c r="B606" s="56" t="s">
        <v>1327</v>
      </c>
      <c r="C606" s="56" t="s">
        <v>656</v>
      </c>
      <c r="D606" s="218" t="s">
        <v>650</v>
      </c>
      <c r="E606" s="476" t="s">
        <v>1731</v>
      </c>
    </row>
    <row r="607" spans="1:5" s="2" customFormat="1" ht="40.15" customHeight="1" outlineLevel="1">
      <c r="A607" s="396" t="s">
        <v>1438</v>
      </c>
      <c r="B607" s="410"/>
      <c r="C607" s="410"/>
      <c r="D607" s="251"/>
      <c r="E607" s="503"/>
    </row>
    <row r="608" spans="1:5" s="2" customFormat="1" ht="114.75" outlineLevel="1">
      <c r="A608" s="215" t="s">
        <v>822</v>
      </c>
      <c r="B608" s="147" t="s">
        <v>217</v>
      </c>
      <c r="C608" s="147" t="s">
        <v>218</v>
      </c>
      <c r="D608" s="185" t="s">
        <v>219</v>
      </c>
      <c r="E608" s="476" t="s">
        <v>1732</v>
      </c>
    </row>
    <row r="609" spans="1:5" s="2" customFormat="1" ht="63.75" outlineLevel="1">
      <c r="A609" s="215" t="s">
        <v>823</v>
      </c>
      <c r="B609" s="147" t="s">
        <v>220</v>
      </c>
      <c r="C609" s="147" t="s">
        <v>221</v>
      </c>
      <c r="D609" s="185" t="s">
        <v>222</v>
      </c>
      <c r="E609" s="476" t="s">
        <v>1733</v>
      </c>
    </row>
    <row r="610" spans="1:5" s="2" customFormat="1" ht="76.5" outlineLevel="1">
      <c r="A610" s="215" t="s">
        <v>824</v>
      </c>
      <c r="B610" s="147" t="s">
        <v>223</v>
      </c>
      <c r="C610" s="147" t="s">
        <v>224</v>
      </c>
      <c r="D610" s="185" t="s">
        <v>222</v>
      </c>
      <c r="E610" s="476" t="s">
        <v>1734</v>
      </c>
    </row>
    <row r="611" spans="1:5" s="2" customFormat="1" ht="114.75" outlineLevel="1">
      <c r="A611" s="215" t="s">
        <v>825</v>
      </c>
      <c r="B611" s="147" t="s">
        <v>225</v>
      </c>
      <c r="C611" s="147" t="s">
        <v>90</v>
      </c>
      <c r="D611" s="185" t="s">
        <v>222</v>
      </c>
      <c r="E611" s="476" t="s">
        <v>1735</v>
      </c>
    </row>
    <row r="612" spans="1:5" s="2" customFormat="1" ht="127.5" outlineLevel="1">
      <c r="A612" s="215" t="s">
        <v>826</v>
      </c>
      <c r="B612" s="147" t="s">
        <v>226</v>
      </c>
      <c r="C612" s="147" t="s">
        <v>1328</v>
      </c>
      <c r="D612" s="185" t="s">
        <v>219</v>
      </c>
      <c r="E612" s="476" t="s">
        <v>1736</v>
      </c>
    </row>
    <row r="613" spans="1:5" s="2" customFormat="1" ht="66.599999999999994" customHeight="1" outlineLevel="1">
      <c r="A613" s="215" t="s">
        <v>827</v>
      </c>
      <c r="B613" s="147" t="s">
        <v>1329</v>
      </c>
      <c r="C613" s="147" t="s">
        <v>1331</v>
      </c>
      <c r="D613" s="185" t="s">
        <v>222</v>
      </c>
      <c r="E613" s="553" t="s">
        <v>1737</v>
      </c>
    </row>
    <row r="614" spans="1:5" s="2" customFormat="1" ht="50.45" customHeight="1" outlineLevel="1">
      <c r="A614" s="215" t="s">
        <v>828</v>
      </c>
      <c r="B614" s="147" t="s">
        <v>1330</v>
      </c>
      <c r="C614" s="147" t="s">
        <v>1332</v>
      </c>
      <c r="D614" s="185" t="s">
        <v>222</v>
      </c>
      <c r="E614" s="555"/>
    </row>
    <row r="615" spans="1:5" s="2" customFormat="1" ht="89.25" outlineLevel="1">
      <c r="A615" s="215" t="s">
        <v>829</v>
      </c>
      <c r="B615" s="147" t="s">
        <v>227</v>
      </c>
      <c r="C615" s="147" t="s">
        <v>830</v>
      </c>
      <c r="D615" s="185" t="s">
        <v>222</v>
      </c>
      <c r="E615" s="147" t="s">
        <v>1738</v>
      </c>
    </row>
    <row r="616" spans="1:5" s="2" customFormat="1" ht="15.75">
      <c r="A616" s="411"/>
      <c r="B616" s="412"/>
      <c r="C616" s="412"/>
      <c r="D616" s="273"/>
      <c r="E616" s="412"/>
    </row>
    <row r="617" spans="1:5" s="2" customFormat="1" ht="15.75">
      <c r="A617" s="411"/>
      <c r="B617" s="412"/>
      <c r="C617" s="412"/>
      <c r="D617" s="273"/>
      <c r="E617" s="412"/>
    </row>
    <row r="618" spans="1:5">
      <c r="A618" s="413"/>
      <c r="B618" s="414" t="s">
        <v>119</v>
      </c>
      <c r="C618" s="413"/>
      <c r="D618" s="415"/>
      <c r="E618" s="415"/>
    </row>
    <row r="619" spans="1:5">
      <c r="A619" s="419">
        <v>1</v>
      </c>
      <c r="B619" s="420" t="s">
        <v>760</v>
      </c>
      <c r="C619" s="421"/>
      <c r="D619" s="421"/>
      <c r="E619" s="425"/>
    </row>
    <row r="620" spans="1:5">
      <c r="A620" s="419">
        <v>2</v>
      </c>
      <c r="B620" s="420" t="s">
        <v>871</v>
      </c>
      <c r="C620" s="421"/>
      <c r="D620" s="421"/>
      <c r="E620" s="425"/>
    </row>
    <row r="621" spans="1:5">
      <c r="A621" s="419">
        <v>3</v>
      </c>
      <c r="B621" s="426" t="s">
        <v>1333</v>
      </c>
      <c r="C621" s="427"/>
      <c r="D621" s="427"/>
      <c r="E621" s="431"/>
    </row>
    <row r="622" spans="1:5">
      <c r="A622" s="419">
        <v>4</v>
      </c>
      <c r="B622" s="426" t="s">
        <v>761</v>
      </c>
      <c r="C622" s="427"/>
      <c r="D622" s="427"/>
      <c r="E622" s="431"/>
    </row>
    <row r="623" spans="1:5">
      <c r="A623" s="419">
        <v>5</v>
      </c>
      <c r="B623" s="426" t="s">
        <v>762</v>
      </c>
      <c r="C623" s="427"/>
      <c r="D623" s="427"/>
      <c r="E623" s="431"/>
    </row>
    <row r="624" spans="1:5">
      <c r="A624" s="419">
        <v>6</v>
      </c>
      <c r="B624" s="426" t="s">
        <v>1365</v>
      </c>
      <c r="C624" s="427"/>
      <c r="D624" s="432"/>
      <c r="E624" s="435"/>
    </row>
    <row r="625" spans="1:5" s="3" customFormat="1">
      <c r="A625" s="419">
        <v>7</v>
      </c>
      <c r="B625" s="436" t="s">
        <v>1334</v>
      </c>
      <c r="C625" s="437"/>
      <c r="D625" s="438"/>
      <c r="E625" s="442"/>
    </row>
    <row r="626" spans="1:5" s="3" customFormat="1">
      <c r="A626" s="443">
        <v>8</v>
      </c>
      <c r="B626" s="444" t="s">
        <v>1366</v>
      </c>
      <c r="C626" s="445"/>
      <c r="D626" s="446"/>
      <c r="E626" s="450"/>
    </row>
    <row r="627" spans="1:5" s="3" customFormat="1">
      <c r="A627" s="451"/>
      <c r="B627" s="436" t="s">
        <v>1367</v>
      </c>
      <c r="C627" s="437"/>
      <c r="D627" s="438"/>
      <c r="E627" s="442"/>
    </row>
    <row r="628" spans="1:5" s="3" customFormat="1">
      <c r="A628" s="419">
        <v>9</v>
      </c>
      <c r="B628" s="426" t="s">
        <v>1335</v>
      </c>
      <c r="C628" s="427"/>
      <c r="D628" s="432"/>
      <c r="E628" s="435"/>
    </row>
    <row r="629" spans="1:5" s="3" customFormat="1">
      <c r="A629" s="443">
        <v>10</v>
      </c>
      <c r="B629" s="444" t="s">
        <v>1368</v>
      </c>
      <c r="C629" s="445"/>
      <c r="D629" s="446"/>
      <c r="E629" s="450"/>
    </row>
    <row r="630" spans="1:5" s="3" customFormat="1">
      <c r="A630" s="451"/>
      <c r="B630" s="436" t="s">
        <v>1369</v>
      </c>
      <c r="C630" s="437"/>
      <c r="D630" s="438"/>
      <c r="E630" s="442"/>
    </row>
    <row r="631" spans="1:5" s="3" customFormat="1">
      <c r="A631" s="443">
        <v>11</v>
      </c>
      <c r="B631" s="444" t="s">
        <v>1370</v>
      </c>
      <c r="C631" s="445"/>
      <c r="D631" s="446"/>
      <c r="E631" s="450"/>
    </row>
    <row r="632" spans="1:5" s="3" customFormat="1">
      <c r="A632" s="452"/>
      <c r="B632" s="453" t="s">
        <v>1371</v>
      </c>
      <c r="C632" s="454"/>
      <c r="D632" s="455"/>
      <c r="E632" s="458"/>
    </row>
    <row r="633" spans="1:5" s="3" customFormat="1">
      <c r="A633" s="452"/>
      <c r="B633" s="453" t="s">
        <v>1372</v>
      </c>
      <c r="C633" s="454"/>
      <c r="D633" s="455"/>
      <c r="E633" s="458"/>
    </row>
    <row r="634" spans="1:5" s="3" customFormat="1">
      <c r="A634" s="451"/>
      <c r="B634" s="436" t="s">
        <v>1373</v>
      </c>
      <c r="C634" s="437"/>
      <c r="D634" s="438"/>
      <c r="E634" s="442"/>
    </row>
    <row r="635" spans="1:5" s="3" customFormat="1">
      <c r="A635" s="443">
        <v>12</v>
      </c>
      <c r="B635" s="444" t="s">
        <v>1374</v>
      </c>
      <c r="C635" s="445"/>
      <c r="D635" s="446"/>
      <c r="E635" s="450"/>
    </row>
    <row r="636" spans="1:5" s="3" customFormat="1">
      <c r="A636" s="451"/>
      <c r="B636" s="436" t="s">
        <v>1375</v>
      </c>
      <c r="C636" s="437"/>
      <c r="D636" s="438"/>
      <c r="E636" s="442"/>
    </row>
    <row r="637" spans="1:5" s="3" customFormat="1">
      <c r="A637" s="443">
        <v>13</v>
      </c>
      <c r="B637" s="454" t="s">
        <v>1376</v>
      </c>
      <c r="C637" s="454"/>
      <c r="D637" s="455"/>
      <c r="E637" s="458"/>
    </row>
    <row r="638" spans="1:5" s="3" customFormat="1">
      <c r="A638" s="452"/>
      <c r="B638" s="454" t="s">
        <v>1377</v>
      </c>
      <c r="C638" s="454"/>
      <c r="D638" s="455"/>
      <c r="E638" s="458"/>
    </row>
    <row r="639" spans="1:5" s="3" customFormat="1">
      <c r="A639" s="451"/>
      <c r="B639" s="437" t="s">
        <v>1378</v>
      </c>
      <c r="C639" s="437"/>
      <c r="D639" s="438"/>
      <c r="E639" s="442"/>
    </row>
    <row r="640" spans="1:5">
      <c r="A640" s="454"/>
      <c r="B640" s="454"/>
      <c r="C640" s="454"/>
      <c r="D640" s="455"/>
      <c r="E640" s="455"/>
    </row>
    <row r="641" spans="1:5">
      <c r="A641" s="454"/>
      <c r="B641" s="454"/>
      <c r="C641" s="454"/>
      <c r="D641" s="455"/>
      <c r="E641" s="455"/>
    </row>
    <row r="642" spans="1:5">
      <c r="A642" s="454"/>
      <c r="B642" s="454"/>
      <c r="C642" s="454"/>
      <c r="D642" s="455"/>
      <c r="E642" s="455"/>
    </row>
    <row r="643" spans="1:5">
      <c r="A643" s="454"/>
      <c r="B643" s="454"/>
      <c r="C643" s="454"/>
      <c r="D643" s="455"/>
      <c r="E643" s="455"/>
    </row>
  </sheetData>
  <sheetProtection algorithmName="SHA-512" hashValue="UP6+qJ4wxNJFH409NLwFS5IA7QEFpagsJ3L2OoWiWP/e+3Md36zyP/tyvZf7LA99nghK3E5SywKDhSQ55hPCZg==" saltValue="mfqBSkTGp2o58skcpuv0xA==" spinCount="100000" sheet="1" formatCells="0" formatColumns="0" formatRows="0" insertColumns="0" insertRows="0" insertHyperlinks="0" deleteColumns="0" deleteRows="0" sort="0" autoFilter="0" pivotTables="0"/>
  <mergeCells count="97">
    <mergeCell ref="E597:E599"/>
    <mergeCell ref="E613:E614"/>
    <mergeCell ref="E572:E573"/>
    <mergeCell ref="E574:E575"/>
    <mergeCell ref="E576:E577"/>
    <mergeCell ref="E578:E580"/>
    <mergeCell ref="E586:E587"/>
    <mergeCell ref="E459:E462"/>
    <mergeCell ref="B534:C534"/>
    <mergeCell ref="A535:C535"/>
    <mergeCell ref="A564:A566"/>
    <mergeCell ref="E485:E488"/>
    <mergeCell ref="E507:E510"/>
    <mergeCell ref="E516:E518"/>
    <mergeCell ref="E521:E525"/>
    <mergeCell ref="E529:E532"/>
    <mergeCell ref="E539:E541"/>
    <mergeCell ref="E546:E547"/>
    <mergeCell ref="E551:E557"/>
    <mergeCell ref="E564:E566"/>
    <mergeCell ref="E408:E409"/>
    <mergeCell ref="E412:E414"/>
    <mergeCell ref="E436:E437"/>
    <mergeCell ref="E444:E445"/>
    <mergeCell ref="E352:E355"/>
    <mergeCell ref="E356:E357"/>
    <mergeCell ref="E358:E359"/>
    <mergeCell ref="E374:E381"/>
    <mergeCell ref="E386:E387"/>
    <mergeCell ref="E447:E448"/>
    <mergeCell ref="E456:E457"/>
    <mergeCell ref="A578:A580"/>
    <mergeCell ref="A296:C296"/>
    <mergeCell ref="A332:C332"/>
    <mergeCell ref="A361:C361"/>
    <mergeCell ref="A388:C388"/>
    <mergeCell ref="A468:C468"/>
    <mergeCell ref="B495:C495"/>
    <mergeCell ref="A496:C496"/>
    <mergeCell ref="E323:E325"/>
    <mergeCell ref="E328:E330"/>
    <mergeCell ref="E333:E337"/>
    <mergeCell ref="E341:E347"/>
    <mergeCell ref="E478:E484"/>
    <mergeCell ref="E402:E403"/>
    <mergeCell ref="B295:C295"/>
    <mergeCell ref="A18:C18"/>
    <mergeCell ref="B29:C29"/>
    <mergeCell ref="B49:C49"/>
    <mergeCell ref="C50:C57"/>
    <mergeCell ref="B58:C58"/>
    <mergeCell ref="C59:C66"/>
    <mergeCell ref="B67:C67"/>
    <mergeCell ref="C68:C75"/>
    <mergeCell ref="A85:C85"/>
    <mergeCell ref="B238:C238"/>
    <mergeCell ref="A239:C239"/>
    <mergeCell ref="A2:E2"/>
    <mergeCell ref="B5:C5"/>
    <mergeCell ref="A6:C6"/>
    <mergeCell ref="C8:C10"/>
    <mergeCell ref="A13:C13"/>
    <mergeCell ref="B17:C17"/>
    <mergeCell ref="E7:E10"/>
    <mergeCell ref="E11:E12"/>
    <mergeCell ref="E14:E16"/>
    <mergeCell ref="E19:E21"/>
    <mergeCell ref="E31:E36"/>
    <mergeCell ref="E37:E42"/>
    <mergeCell ref="E43:E48"/>
    <mergeCell ref="E50:E57"/>
    <mergeCell ref="E59:E66"/>
    <mergeCell ref="E68:E75"/>
    <mergeCell ref="E98:E104"/>
    <mergeCell ref="E106:E112"/>
    <mergeCell ref="E114:E120"/>
    <mergeCell ref="E122:E127"/>
    <mergeCell ref="E129:E133"/>
    <mergeCell ref="E135:E155"/>
    <mergeCell ref="E157:E177"/>
    <mergeCell ref="E179:E199"/>
    <mergeCell ref="E201:E210"/>
    <mergeCell ref="E248:E250"/>
    <mergeCell ref="E251:E253"/>
    <mergeCell ref="E254:E260"/>
    <mergeCell ref="E267:E271"/>
    <mergeCell ref="E217:E220"/>
    <mergeCell ref="E221:E224"/>
    <mergeCell ref="E225:E228"/>
    <mergeCell ref="E240:E241"/>
    <mergeCell ref="E245:E247"/>
    <mergeCell ref="E278:E280"/>
    <mergeCell ref="E297:E299"/>
    <mergeCell ref="E304:E309"/>
    <mergeCell ref="E319:E320"/>
    <mergeCell ref="E321:E322"/>
    <mergeCell ref="E310:E315"/>
  </mergeCells>
  <printOptions horizontalCentered="1"/>
  <pageMargins left="0.23622047244094491" right="0.23622047244094491" top="0.74803149606299213" bottom="0.74803149606299213" header="0.31496062992125984" footer="0.31496062992125984"/>
  <pageSetup paperSize="9" scale="10" fitToHeight="28" orientation="landscape" r:id="rId1"/>
  <rowBreaks count="1" manualBreakCount="1">
    <brk id="40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Перечень расценок</vt:lpstr>
      <vt:lpstr>Комментарии к Перечню расценок</vt:lpstr>
      <vt:lpstr>'Комментарии к Перечню расценок'!Область_печати</vt:lpstr>
      <vt:lpstr>'Перечень расценок'!Область_печати</vt:lpstr>
    </vt:vector>
  </TitlesOfParts>
  <Company>ПАО Ростелеком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Единые расценки на ПИР/СМР для В2В</dc:title>
  <dc:creator>ДРПСТИ КЦ</dc:creator>
  <cp:lastModifiedBy>Данилова Татьяна Владимировна</cp:lastModifiedBy>
  <cp:lastPrinted>2020-12-22T07:47:41Z</cp:lastPrinted>
  <dcterms:created xsi:type="dcterms:W3CDTF">2015-09-21T06:52:28Z</dcterms:created>
  <dcterms:modified xsi:type="dcterms:W3CDTF">2021-08-12T12:27:58Z</dcterms:modified>
</cp:coreProperties>
</file>